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Годовой отчет за 2022 год\"/>
    </mc:Choice>
  </mc:AlternateContent>
  <bookViews>
    <workbookView xWindow="0" yWindow="0" windowWidth="28800" windowHeight="12045"/>
  </bookViews>
  <sheets>
    <sheet name="Документ" sheetId="1" r:id="rId1"/>
  </sheets>
  <definedNames>
    <definedName name="_xlnm.Print_Titles" localSheetId="0">Документ!$6:$7</definedName>
    <definedName name="_xlnm.Print_Area" localSheetId="0">Документ!$A$1:$G$387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1" l="1"/>
  <c r="G48" i="1"/>
  <c r="G51" i="1"/>
  <c r="G52" i="1"/>
  <c r="G54" i="1"/>
  <c r="G15" i="1"/>
  <c r="E385" i="1"/>
  <c r="H384" i="1"/>
  <c r="G384" i="1"/>
  <c r="F383" i="1"/>
  <c r="D383" i="1"/>
  <c r="D385" i="1" s="1"/>
  <c r="E381" i="1"/>
  <c r="D381" i="1"/>
  <c r="G380" i="1"/>
  <c r="F380" i="1"/>
  <c r="H380" i="1" s="1"/>
  <c r="H379" i="1"/>
  <c r="F379" i="1"/>
  <c r="G379" i="1" s="1"/>
  <c r="G378" i="1"/>
  <c r="F378" i="1"/>
  <c r="H378" i="1" s="1"/>
  <c r="H377" i="1"/>
  <c r="H381" i="1" s="1"/>
  <c r="F377" i="1"/>
  <c r="G377" i="1" s="1"/>
  <c r="E375" i="1"/>
  <c r="D375" i="1"/>
  <c r="H374" i="1"/>
  <c r="G374" i="1"/>
  <c r="F373" i="1"/>
  <c r="E371" i="1"/>
  <c r="H370" i="1"/>
  <c r="G370" i="1"/>
  <c r="F369" i="1"/>
  <c r="D369" i="1"/>
  <c r="D371" i="1" s="1"/>
  <c r="F367" i="1"/>
  <c r="E367" i="1"/>
  <c r="D367" i="1"/>
  <c r="H366" i="1"/>
  <c r="G366" i="1"/>
  <c r="H365" i="1"/>
  <c r="G365" i="1"/>
  <c r="H364" i="1"/>
  <c r="G364" i="1"/>
  <c r="H363" i="1"/>
  <c r="G363" i="1"/>
  <c r="H362" i="1"/>
  <c r="G362" i="1"/>
  <c r="H361" i="1"/>
  <c r="H367" i="1" s="1"/>
  <c r="G361" i="1"/>
  <c r="E359" i="1"/>
  <c r="F358" i="1"/>
  <c r="G358" i="1" s="1"/>
  <c r="D358" i="1"/>
  <c r="F357" i="1"/>
  <c r="D357" i="1"/>
  <c r="H356" i="1"/>
  <c r="D356" i="1"/>
  <c r="E354" i="1"/>
  <c r="F353" i="1"/>
  <c r="D353" i="1"/>
  <c r="H353" i="1" s="1"/>
  <c r="F352" i="1"/>
  <c r="F351" i="1"/>
  <c r="D351" i="1"/>
  <c r="F350" i="1"/>
  <c r="D350" i="1"/>
  <c r="E348" i="1"/>
  <c r="D348" i="1"/>
  <c r="H347" i="1"/>
  <c r="G347" i="1"/>
  <c r="H346" i="1"/>
  <c r="G346" i="1"/>
  <c r="F345" i="1"/>
  <c r="F344" i="1"/>
  <c r="E342" i="1"/>
  <c r="F341" i="1"/>
  <c r="D341" i="1"/>
  <c r="D340" i="1"/>
  <c r="H340" i="1" s="1"/>
  <c r="F339" i="1"/>
  <c r="D339" i="1"/>
  <c r="H338" i="1"/>
  <c r="G338" i="1"/>
  <c r="E336" i="1"/>
  <c r="F335" i="1"/>
  <c r="D335" i="1"/>
  <c r="D334" i="1"/>
  <c r="F333" i="1"/>
  <c r="D333" i="1"/>
  <c r="E331" i="1"/>
  <c r="D330" i="1"/>
  <c r="D329" i="1"/>
  <c r="F328" i="1"/>
  <c r="F331" i="1" s="1"/>
  <c r="D328" i="1"/>
  <c r="E326" i="1"/>
  <c r="D326" i="1"/>
  <c r="H325" i="1"/>
  <c r="G325" i="1"/>
  <c r="F324" i="1"/>
  <c r="H324" i="1" s="1"/>
  <c r="H323" i="1"/>
  <c r="G323" i="1"/>
  <c r="E321" i="1"/>
  <c r="H320" i="1"/>
  <c r="G320" i="1"/>
  <c r="F319" i="1"/>
  <c r="D319" i="1"/>
  <c r="D321" i="1" s="1"/>
  <c r="E317" i="1"/>
  <c r="D316" i="1"/>
  <c r="F315" i="1"/>
  <c r="F314" i="1"/>
  <c r="D314" i="1"/>
  <c r="F313" i="1"/>
  <c r="D313" i="1"/>
  <c r="F311" i="1"/>
  <c r="G311" i="1" s="1"/>
  <c r="E311" i="1"/>
  <c r="D311" i="1"/>
  <c r="H310" i="1"/>
  <c r="G310" i="1"/>
  <c r="H309" i="1"/>
  <c r="G309" i="1"/>
  <c r="H308" i="1"/>
  <c r="G308" i="1"/>
  <c r="H307" i="1"/>
  <c r="G307" i="1"/>
  <c r="H306" i="1"/>
  <c r="G306" i="1"/>
  <c r="H305" i="1"/>
  <c r="G305" i="1"/>
  <c r="H304" i="1"/>
  <c r="G304" i="1"/>
  <c r="H303" i="1"/>
  <c r="G303" i="1"/>
  <c r="H302" i="1"/>
  <c r="G302" i="1"/>
  <c r="H301" i="1"/>
  <c r="G301" i="1"/>
  <c r="H300" i="1"/>
  <c r="G300" i="1"/>
  <c r="H299" i="1"/>
  <c r="G299" i="1"/>
  <c r="H298" i="1"/>
  <c r="G298" i="1"/>
  <c r="H297" i="1"/>
  <c r="G297" i="1"/>
  <c r="H296" i="1"/>
  <c r="G296" i="1"/>
  <c r="F294" i="1"/>
  <c r="E294" i="1"/>
  <c r="D294" i="1"/>
  <c r="H293" i="1"/>
  <c r="G293" i="1"/>
  <c r="H292" i="1"/>
  <c r="G292" i="1"/>
  <c r="H291" i="1"/>
  <c r="G291" i="1"/>
  <c r="H290" i="1"/>
  <c r="G290" i="1"/>
  <c r="H289" i="1"/>
  <c r="G289" i="1"/>
  <c r="H288" i="1"/>
  <c r="G288" i="1"/>
  <c r="H287" i="1"/>
  <c r="G287" i="1"/>
  <c r="H286" i="1"/>
  <c r="G286" i="1"/>
  <c r="H285" i="1"/>
  <c r="G285" i="1"/>
  <c r="H284" i="1"/>
  <c r="G284" i="1"/>
  <c r="H283" i="1"/>
  <c r="G283" i="1"/>
  <c r="H282" i="1"/>
  <c r="G282" i="1"/>
  <c r="H281" i="1"/>
  <c r="G281" i="1"/>
  <c r="H280" i="1"/>
  <c r="G280" i="1"/>
  <c r="H279" i="1"/>
  <c r="H294" i="1" s="1"/>
  <c r="G279" i="1"/>
  <c r="E277" i="1"/>
  <c r="H276" i="1"/>
  <c r="G276" i="1"/>
  <c r="H275" i="1"/>
  <c r="G275" i="1"/>
  <c r="H274" i="1"/>
  <c r="G274" i="1"/>
  <c r="H273" i="1"/>
  <c r="G273" i="1"/>
  <c r="H272" i="1"/>
  <c r="G272" i="1"/>
  <c r="H271" i="1"/>
  <c r="G271" i="1"/>
  <c r="H270" i="1"/>
  <c r="G270" i="1"/>
  <c r="H269" i="1"/>
  <c r="G269" i="1"/>
  <c r="H268" i="1"/>
  <c r="G268" i="1"/>
  <c r="F267" i="1"/>
  <c r="D267" i="1"/>
  <c r="F266" i="1"/>
  <c r="H265" i="1"/>
  <c r="G265" i="1"/>
  <c r="G264" i="1"/>
  <c r="D264" i="1"/>
  <c r="E262" i="1"/>
  <c r="H261" i="1"/>
  <c r="G261" i="1"/>
  <c r="H260" i="1"/>
  <c r="G260" i="1"/>
  <c r="H259" i="1"/>
  <c r="G259" i="1"/>
  <c r="H258" i="1"/>
  <c r="G258" i="1"/>
  <c r="H257" i="1"/>
  <c r="G257" i="1"/>
  <c r="H256" i="1"/>
  <c r="G256" i="1"/>
  <c r="H255" i="1"/>
  <c r="G255" i="1"/>
  <c r="H254" i="1"/>
  <c r="G254" i="1"/>
  <c r="H253" i="1"/>
  <c r="G253" i="1"/>
  <c r="F252" i="1"/>
  <c r="D252" i="1"/>
  <c r="H252" i="1" s="1"/>
  <c r="F251" i="1"/>
  <c r="D251" i="1"/>
  <c r="D250" i="1"/>
  <c r="D249" i="1"/>
  <c r="G249" i="1" s="1"/>
  <c r="E247" i="1"/>
  <c r="F246" i="1"/>
  <c r="G246" i="1" s="1"/>
  <c r="F244" i="1"/>
  <c r="D244" i="1"/>
  <c r="F245" i="1"/>
  <c r="D245" i="1"/>
  <c r="F243" i="1"/>
  <c r="H243" i="1" s="1"/>
  <c r="F242" i="1"/>
  <c r="D242" i="1"/>
  <c r="F241" i="1"/>
  <c r="D241" i="1"/>
  <c r="H241" i="1" s="1"/>
  <c r="F240" i="1"/>
  <c r="D240" i="1"/>
  <c r="F239" i="1"/>
  <c r="D239" i="1"/>
  <c r="F238" i="1"/>
  <c r="D238" i="1"/>
  <c r="H237" i="1"/>
  <c r="G237" i="1"/>
  <c r="F236" i="1"/>
  <c r="D236" i="1"/>
  <c r="H236" i="1" s="1"/>
  <c r="F235" i="1"/>
  <c r="D235" i="1"/>
  <c r="F234" i="1"/>
  <c r="D234" i="1"/>
  <c r="H234" i="1" s="1"/>
  <c r="F233" i="1"/>
  <c r="D233" i="1"/>
  <c r="E231" i="1"/>
  <c r="H230" i="1"/>
  <c r="G230" i="1"/>
  <c r="F229" i="1"/>
  <c r="F231" i="1" s="1"/>
  <c r="D229" i="1"/>
  <c r="E227" i="1"/>
  <c r="F226" i="1"/>
  <c r="D226" i="1"/>
  <c r="F225" i="1"/>
  <c r="D225" i="1"/>
  <c r="F224" i="1"/>
  <c r="D224" i="1"/>
  <c r="F223" i="1"/>
  <c r="D223" i="1"/>
  <c r="H223" i="1" s="1"/>
  <c r="D222" i="1"/>
  <c r="E220" i="1"/>
  <c r="F219" i="1"/>
  <c r="D219" i="1"/>
  <c r="F218" i="1"/>
  <c r="H218" i="1" s="1"/>
  <c r="D217" i="1"/>
  <c r="F215" i="1"/>
  <c r="E215" i="1"/>
  <c r="D215" i="1"/>
  <c r="H214" i="1"/>
  <c r="G214" i="1"/>
  <c r="H213" i="1"/>
  <c r="H215" i="1" s="1"/>
  <c r="G213" i="1"/>
  <c r="E211" i="1"/>
  <c r="F210" i="1"/>
  <c r="D210" i="1"/>
  <c r="H210" i="1" s="1"/>
  <c r="F209" i="1"/>
  <c r="D209" i="1"/>
  <c r="D211" i="1" s="1"/>
  <c r="E207" i="1"/>
  <c r="H206" i="1"/>
  <c r="G206" i="1"/>
  <c r="D205" i="1"/>
  <c r="D204" i="1"/>
  <c r="H203" i="1"/>
  <c r="G203" i="1"/>
  <c r="D202" i="1"/>
  <c r="H201" i="1"/>
  <c r="G201" i="1"/>
  <c r="D200" i="1"/>
  <c r="F199" i="1"/>
  <c r="H198" i="1"/>
  <c r="G198" i="1"/>
  <c r="H197" i="1"/>
  <c r="G197" i="1"/>
  <c r="H196" i="1"/>
  <c r="G196" i="1"/>
  <c r="H195" i="1"/>
  <c r="G195" i="1"/>
  <c r="F193" i="1"/>
  <c r="E193" i="1"/>
  <c r="D193" i="1"/>
  <c r="H192" i="1"/>
  <c r="G192" i="1"/>
  <c r="H191" i="1"/>
  <c r="G191" i="1"/>
  <c r="H190" i="1"/>
  <c r="H193" i="1" s="1"/>
  <c r="G190" i="1"/>
  <c r="E188" i="1"/>
  <c r="F187" i="1"/>
  <c r="G187" i="1" s="1"/>
  <c r="F186" i="1"/>
  <c r="D186" i="1"/>
  <c r="F185" i="1"/>
  <c r="H185" i="1" s="1"/>
  <c r="F184" i="1"/>
  <c r="D184" i="1"/>
  <c r="F183" i="1"/>
  <c r="D183" i="1"/>
  <c r="H183" i="1" s="1"/>
  <c r="F182" i="1"/>
  <c r="G182" i="1" s="1"/>
  <c r="F181" i="1"/>
  <c r="D181" i="1"/>
  <c r="G180" i="1"/>
  <c r="F180" i="1"/>
  <c r="H180" i="1" s="1"/>
  <c r="H179" i="1"/>
  <c r="F179" i="1"/>
  <c r="G179" i="1" s="1"/>
  <c r="G178" i="1"/>
  <c r="F178" i="1"/>
  <c r="H178" i="1" s="1"/>
  <c r="H177" i="1"/>
  <c r="F177" i="1"/>
  <c r="H176" i="1"/>
  <c r="F174" i="1"/>
  <c r="E174" i="1"/>
  <c r="D174" i="1"/>
  <c r="H173" i="1"/>
  <c r="H174" i="1" s="1"/>
  <c r="G173" i="1"/>
  <c r="E171" i="1"/>
  <c r="F170" i="1"/>
  <c r="G170" i="1" s="1"/>
  <c r="F169" i="1"/>
  <c r="F168" i="1"/>
  <c r="G168" i="1" s="1"/>
  <c r="F167" i="1"/>
  <c r="D167" i="1"/>
  <c r="G166" i="1"/>
  <c r="F166" i="1"/>
  <c r="H166" i="1" s="1"/>
  <c r="H165" i="1"/>
  <c r="F165" i="1"/>
  <c r="G165" i="1" s="1"/>
  <c r="G164" i="1"/>
  <c r="F164" i="1"/>
  <c r="H164" i="1" s="1"/>
  <c r="H163" i="1"/>
  <c r="F163" i="1"/>
  <c r="G163" i="1" s="1"/>
  <c r="F162" i="1"/>
  <c r="D162" i="1"/>
  <c r="F161" i="1"/>
  <c r="D161" i="1"/>
  <c r="G160" i="1"/>
  <c r="F160" i="1"/>
  <c r="H160" i="1" s="1"/>
  <c r="H159" i="1"/>
  <c r="F159" i="1"/>
  <c r="E157" i="1"/>
  <c r="F156" i="1"/>
  <c r="D156" i="1"/>
  <c r="H156" i="1" s="1"/>
  <c r="D155" i="1"/>
  <c r="G155" i="1" s="1"/>
  <c r="D154" i="1"/>
  <c r="D153" i="1"/>
  <c r="G153" i="1" s="1"/>
  <c r="F152" i="1"/>
  <c r="D152" i="1"/>
  <c r="G151" i="1"/>
  <c r="F151" i="1"/>
  <c r="H151" i="1" s="1"/>
  <c r="H150" i="1"/>
  <c r="D150" i="1"/>
  <c r="G150" i="1" s="1"/>
  <c r="G149" i="1"/>
  <c r="F149" i="1"/>
  <c r="H149" i="1" s="1"/>
  <c r="H148" i="1"/>
  <c r="G148" i="1"/>
  <c r="H147" i="1"/>
  <c r="F147" i="1"/>
  <c r="G147" i="1" s="1"/>
  <c r="F146" i="1"/>
  <c r="F157" i="1" s="1"/>
  <c r="D146" i="1"/>
  <c r="G145" i="1"/>
  <c r="D145" i="1"/>
  <c r="E143" i="1"/>
  <c r="D142" i="1"/>
  <c r="F141" i="1"/>
  <c r="D141" i="1"/>
  <c r="F140" i="1"/>
  <c r="G140" i="1" s="1"/>
  <c r="D140" i="1"/>
  <c r="F139" i="1"/>
  <c r="G139" i="1" s="1"/>
  <c r="D139" i="1"/>
  <c r="F138" i="1"/>
  <c r="D138" i="1"/>
  <c r="F137" i="1"/>
  <c r="D137" i="1"/>
  <c r="D136" i="1"/>
  <c r="F135" i="1"/>
  <c r="D135" i="1"/>
  <c r="H135" i="1" s="1"/>
  <c r="F134" i="1"/>
  <c r="D134" i="1"/>
  <c r="H134" i="1" s="1"/>
  <c r="F133" i="1"/>
  <c r="D133" i="1"/>
  <c r="H133" i="1" s="1"/>
  <c r="F132" i="1"/>
  <c r="D132" i="1"/>
  <c r="H132" i="1" s="1"/>
  <c r="F131" i="1"/>
  <c r="D131" i="1"/>
  <c r="H131" i="1" s="1"/>
  <c r="E129" i="1"/>
  <c r="H128" i="1"/>
  <c r="G128" i="1"/>
  <c r="H127" i="1"/>
  <c r="G127" i="1"/>
  <c r="G126" i="1"/>
  <c r="F126" i="1"/>
  <c r="H126" i="1" s="1"/>
  <c r="H125" i="1"/>
  <c r="G125" i="1"/>
  <c r="H124" i="1"/>
  <c r="G124" i="1"/>
  <c r="D123" i="1"/>
  <c r="G123" i="1" s="1"/>
  <c r="D122" i="1"/>
  <c r="F121" i="1"/>
  <c r="G121" i="1" s="1"/>
  <c r="H120" i="1"/>
  <c r="G120" i="1"/>
  <c r="D119" i="1"/>
  <c r="H119" i="1" s="1"/>
  <c r="H118" i="1"/>
  <c r="G118" i="1"/>
  <c r="F117" i="1"/>
  <c r="G117" i="1" s="1"/>
  <c r="E115" i="1"/>
  <c r="F114" i="1"/>
  <c r="G114" i="1" s="1"/>
  <c r="D113" i="1"/>
  <c r="D112" i="1"/>
  <c r="G112" i="1" s="1"/>
  <c r="H111" i="1"/>
  <c r="G111" i="1"/>
  <c r="G110" i="1"/>
  <c r="D110" i="1"/>
  <c r="H110" i="1" s="1"/>
  <c r="F109" i="1"/>
  <c r="G109" i="1" s="1"/>
  <c r="D109" i="1"/>
  <c r="D108" i="1"/>
  <c r="D115" i="1" s="1"/>
  <c r="F107" i="1"/>
  <c r="H106" i="1"/>
  <c r="G106" i="1"/>
  <c r="H105" i="1"/>
  <c r="G105" i="1"/>
  <c r="H104" i="1"/>
  <c r="G104" i="1"/>
  <c r="H103" i="1"/>
  <c r="G103" i="1"/>
  <c r="E101" i="1"/>
  <c r="F100" i="1"/>
  <c r="H100" i="1" s="1"/>
  <c r="D99" i="1"/>
  <c r="G99" i="1" s="1"/>
  <c r="D98" i="1"/>
  <c r="H97" i="1"/>
  <c r="G97" i="1"/>
  <c r="D96" i="1"/>
  <c r="H96" i="1" s="1"/>
  <c r="H95" i="1"/>
  <c r="G95" i="1"/>
  <c r="G94" i="1"/>
  <c r="D94" i="1"/>
  <c r="H94" i="1" s="1"/>
  <c r="F93" i="1"/>
  <c r="H93" i="1" s="1"/>
  <c r="H92" i="1"/>
  <c r="G92" i="1"/>
  <c r="D91" i="1"/>
  <c r="H90" i="1"/>
  <c r="G90" i="1"/>
  <c r="H89" i="1"/>
  <c r="G89" i="1"/>
  <c r="E87" i="1"/>
  <c r="F86" i="1"/>
  <c r="H86" i="1" s="1"/>
  <c r="D85" i="1"/>
  <c r="F84" i="1"/>
  <c r="H83" i="1"/>
  <c r="G83" i="1"/>
  <c r="H82" i="1"/>
  <c r="G82" i="1"/>
  <c r="F81" i="1"/>
  <c r="H81" i="1" s="1"/>
  <c r="G80" i="1"/>
  <c r="D80" i="1"/>
  <c r="H80" i="1" s="1"/>
  <c r="H79" i="1"/>
  <c r="G79" i="1"/>
  <c r="H78" i="1"/>
  <c r="G78" i="1"/>
  <c r="F77" i="1"/>
  <c r="F76" i="1"/>
  <c r="H75" i="1"/>
  <c r="G75" i="1"/>
  <c r="E73" i="1"/>
  <c r="F72" i="1"/>
  <c r="F73" i="1" s="1"/>
  <c r="D72" i="1"/>
  <c r="D73" i="1" s="1"/>
  <c r="E70" i="1"/>
  <c r="F69" i="1"/>
  <c r="H69" i="1" s="1"/>
  <c r="F68" i="1"/>
  <c r="F67" i="1"/>
  <c r="H67" i="1" s="1"/>
  <c r="F66" i="1"/>
  <c r="H66" i="1" s="1"/>
  <c r="F65" i="1"/>
  <c r="H65" i="1" s="1"/>
  <c r="F64" i="1"/>
  <c r="F63" i="1"/>
  <c r="D63" i="1"/>
  <c r="D70" i="1" s="1"/>
  <c r="F62" i="1"/>
  <c r="H62" i="1" s="1"/>
  <c r="H61" i="1"/>
  <c r="G61" i="1"/>
  <c r="G60" i="1"/>
  <c r="F60" i="1"/>
  <c r="H60" i="1" s="1"/>
  <c r="F59" i="1"/>
  <c r="H59" i="1" s="1"/>
  <c r="F58" i="1"/>
  <c r="E56" i="1"/>
  <c r="D55" i="1"/>
  <c r="H55" i="1" s="1"/>
  <c r="H54" i="1"/>
  <c r="F53" i="1"/>
  <c r="H53" i="1" s="1"/>
  <c r="H52" i="1"/>
  <c r="H51" i="1"/>
  <c r="F50" i="1"/>
  <c r="H50" i="1" s="1"/>
  <c r="D49" i="1"/>
  <c r="D56" i="1" s="1"/>
  <c r="H48" i="1"/>
  <c r="H47" i="1"/>
  <c r="F46" i="1"/>
  <c r="H46" i="1" s="1"/>
  <c r="F45" i="1"/>
  <c r="F44" i="1"/>
  <c r="H44" i="1" s="1"/>
  <c r="F42" i="1"/>
  <c r="E42" i="1"/>
  <c r="D41" i="1"/>
  <c r="H41" i="1" s="1"/>
  <c r="D40" i="1"/>
  <c r="H40" i="1" s="1"/>
  <c r="D39" i="1"/>
  <c r="D38" i="1"/>
  <c r="H38" i="1" s="1"/>
  <c r="G37" i="1"/>
  <c r="D37" i="1"/>
  <c r="H37" i="1" s="1"/>
  <c r="D36" i="1"/>
  <c r="H36" i="1" s="1"/>
  <c r="D35" i="1"/>
  <c r="D34" i="1"/>
  <c r="H34" i="1" s="1"/>
  <c r="D33" i="1"/>
  <c r="H33" i="1" s="1"/>
  <c r="D32" i="1"/>
  <c r="H32" i="1" s="1"/>
  <c r="D31" i="1"/>
  <c r="D30" i="1"/>
  <c r="H30" i="1" s="1"/>
  <c r="G29" i="1"/>
  <c r="D29" i="1"/>
  <c r="H29" i="1" s="1"/>
  <c r="D28" i="1"/>
  <c r="D27" i="1"/>
  <c r="H24" i="1"/>
  <c r="G24" i="1"/>
  <c r="E24" i="1"/>
  <c r="F23" i="1"/>
  <c r="H23" i="1" s="1"/>
  <c r="E23" i="1"/>
  <c r="F22" i="1"/>
  <c r="E22" i="1"/>
  <c r="F21" i="1"/>
  <c r="D21" i="1"/>
  <c r="F20" i="1"/>
  <c r="D20" i="1"/>
  <c r="H20" i="1" s="1"/>
  <c r="F19" i="1"/>
  <c r="H19" i="1" s="1"/>
  <c r="E19" i="1"/>
  <c r="F18" i="1"/>
  <c r="D18" i="1"/>
  <c r="H18" i="1" s="1"/>
  <c r="F17" i="1"/>
  <c r="H17" i="1" s="1"/>
  <c r="E17" i="1"/>
  <c r="F16" i="1"/>
  <c r="E16" i="1"/>
  <c r="F15" i="1"/>
  <c r="H15" i="1" s="1"/>
  <c r="E15" i="1"/>
  <c r="F14" i="1"/>
  <c r="E14" i="1"/>
  <c r="D14" i="1"/>
  <c r="H14" i="1" s="1"/>
  <c r="F13" i="1"/>
  <c r="H13" i="1" s="1"/>
  <c r="E13" i="1"/>
  <c r="F12" i="1"/>
  <c r="D12" i="1"/>
  <c r="F11" i="1"/>
  <c r="H11" i="1" s="1"/>
  <c r="E11" i="1"/>
  <c r="F10" i="1"/>
  <c r="E10" i="1"/>
  <c r="F9" i="1"/>
  <c r="H9" i="1" s="1"/>
  <c r="E9" i="1"/>
  <c r="G21" i="1" l="1"/>
  <c r="G33" i="1"/>
  <c r="G41" i="1"/>
  <c r="F56" i="1"/>
  <c r="G56" i="1" s="1"/>
  <c r="G66" i="1"/>
  <c r="D87" i="1"/>
  <c r="G86" i="1"/>
  <c r="G100" i="1"/>
  <c r="G119" i="1"/>
  <c r="H138" i="1"/>
  <c r="G156" i="1"/>
  <c r="G184" i="1"/>
  <c r="G185" i="1"/>
  <c r="H187" i="1"/>
  <c r="G224" i="1"/>
  <c r="G225" i="1"/>
  <c r="G234" i="1"/>
  <c r="G238" i="1"/>
  <c r="G239" i="1"/>
  <c r="G242" i="1"/>
  <c r="G243" i="1"/>
  <c r="F317" i="1"/>
  <c r="G340" i="1"/>
  <c r="H351" i="1"/>
  <c r="G353" i="1"/>
  <c r="G19" i="1"/>
  <c r="H10" i="1"/>
  <c r="G10" i="1"/>
  <c r="F25" i="1"/>
  <c r="G12" i="1"/>
  <c r="G20" i="1"/>
  <c r="H22" i="1"/>
  <c r="G22" i="1"/>
  <c r="H27" i="1"/>
  <c r="G27" i="1"/>
  <c r="H35" i="1"/>
  <c r="G35" i="1"/>
  <c r="F70" i="1"/>
  <c r="G70" i="1" s="1"/>
  <c r="G58" i="1"/>
  <c r="H68" i="1"/>
  <c r="G68" i="1"/>
  <c r="H76" i="1"/>
  <c r="G76" i="1"/>
  <c r="H91" i="1"/>
  <c r="G91" i="1"/>
  <c r="F115" i="1"/>
  <c r="G115" i="1" s="1"/>
  <c r="G107" i="1"/>
  <c r="H122" i="1"/>
  <c r="G122" i="1"/>
  <c r="H154" i="1"/>
  <c r="G154" i="1"/>
  <c r="H169" i="1"/>
  <c r="G169" i="1"/>
  <c r="G200" i="1"/>
  <c r="H200" i="1"/>
  <c r="G204" i="1"/>
  <c r="H204" i="1"/>
  <c r="D220" i="1"/>
  <c r="G217" i="1"/>
  <c r="H316" i="1"/>
  <c r="G316" i="1"/>
  <c r="H319" i="1"/>
  <c r="H321" i="1" s="1"/>
  <c r="H330" i="1"/>
  <c r="G330" i="1"/>
  <c r="H334" i="1"/>
  <c r="G334" i="1"/>
  <c r="G345" i="1"/>
  <c r="H345" i="1"/>
  <c r="G11" i="1"/>
  <c r="G23" i="1"/>
  <c r="G49" i="1"/>
  <c r="D25" i="1"/>
  <c r="G14" i="1"/>
  <c r="H16" i="1"/>
  <c r="G16" i="1"/>
  <c r="G18" i="1"/>
  <c r="E20" i="1"/>
  <c r="H21" i="1"/>
  <c r="D42" i="1"/>
  <c r="H31" i="1"/>
  <c r="G31" i="1"/>
  <c r="H39" i="1"/>
  <c r="G39" i="1"/>
  <c r="H64" i="1"/>
  <c r="G64" i="1"/>
  <c r="F87" i="1"/>
  <c r="G87" i="1" s="1"/>
  <c r="H84" i="1"/>
  <c r="G84" i="1"/>
  <c r="H98" i="1"/>
  <c r="G98" i="1"/>
  <c r="H113" i="1"/>
  <c r="G113" i="1"/>
  <c r="G136" i="1"/>
  <c r="H136" i="1"/>
  <c r="H140" i="1"/>
  <c r="H142" i="1"/>
  <c r="G142" i="1"/>
  <c r="H199" i="1"/>
  <c r="F207" i="1"/>
  <c r="G199" i="1"/>
  <c r="H202" i="1"/>
  <c r="G202" i="1"/>
  <c r="H205" i="1"/>
  <c r="G205" i="1"/>
  <c r="H225" i="1"/>
  <c r="H239" i="1"/>
  <c r="H250" i="1"/>
  <c r="G250" i="1"/>
  <c r="G329" i="1"/>
  <c r="H329" i="1"/>
  <c r="F348" i="1"/>
  <c r="G348" i="1" s="1"/>
  <c r="G344" i="1"/>
  <c r="H358" i="1"/>
  <c r="G9" i="1"/>
  <c r="G13" i="1"/>
  <c r="G17" i="1"/>
  <c r="G55" i="1"/>
  <c r="G53" i="1"/>
  <c r="G45" i="1"/>
  <c r="H63" i="1"/>
  <c r="G137" i="1"/>
  <c r="G138" i="1"/>
  <c r="G141" i="1"/>
  <c r="D157" i="1"/>
  <c r="G157" i="1" s="1"/>
  <c r="H146" i="1"/>
  <c r="H152" i="1"/>
  <c r="H162" i="1"/>
  <c r="H167" i="1"/>
  <c r="G183" i="1"/>
  <c r="H186" i="1"/>
  <c r="G210" i="1"/>
  <c r="G219" i="1"/>
  <c r="G226" i="1"/>
  <c r="H229" i="1"/>
  <c r="H231" i="1" s="1"/>
  <c r="G235" i="1"/>
  <c r="G236" i="1"/>
  <c r="G240" i="1"/>
  <c r="G241" i="1"/>
  <c r="H245" i="1"/>
  <c r="H244" i="1"/>
  <c r="G251" i="1"/>
  <c r="D277" i="1"/>
  <c r="H313" i="1"/>
  <c r="H314" i="1"/>
  <c r="H326" i="1"/>
  <c r="G50" i="1"/>
  <c r="G46" i="1"/>
  <c r="G44" i="1"/>
  <c r="G25" i="1"/>
  <c r="E25" i="1"/>
  <c r="E386" i="1" s="1"/>
  <c r="G42" i="1"/>
  <c r="G73" i="1"/>
  <c r="H99" i="1"/>
  <c r="D101" i="1"/>
  <c r="F101" i="1"/>
  <c r="H108" i="1"/>
  <c r="H109" i="1"/>
  <c r="H112" i="1"/>
  <c r="H114" i="1"/>
  <c r="H117" i="1"/>
  <c r="H121" i="1"/>
  <c r="H123" i="1"/>
  <c r="D129" i="1"/>
  <c r="F129" i="1"/>
  <c r="G131" i="1"/>
  <c r="G133" i="1"/>
  <c r="G135" i="1"/>
  <c r="D143" i="1"/>
  <c r="F143" i="1"/>
  <c r="G143" i="1" s="1"/>
  <c r="G146" i="1"/>
  <c r="G162" i="1"/>
  <c r="G174" i="1"/>
  <c r="G186" i="1"/>
  <c r="F211" i="1"/>
  <c r="G211" i="1" s="1"/>
  <c r="G209" i="1"/>
  <c r="D227" i="1"/>
  <c r="G222" i="1"/>
  <c r="G229" i="1"/>
  <c r="F247" i="1"/>
  <c r="G233" i="1"/>
  <c r="G245" i="1"/>
  <c r="G252" i="1"/>
  <c r="F277" i="1"/>
  <c r="G277" i="1" s="1"/>
  <c r="G266" i="1"/>
  <c r="G313" i="1"/>
  <c r="D317" i="1"/>
  <c r="G317" i="1" s="1"/>
  <c r="H328" i="1"/>
  <c r="H331" i="1" s="1"/>
  <c r="D331" i="1"/>
  <c r="G328" i="1"/>
  <c r="H335" i="1"/>
  <c r="D336" i="1"/>
  <c r="G335" i="1"/>
  <c r="G339" i="1"/>
  <c r="F342" i="1"/>
  <c r="H339" i="1"/>
  <c r="D354" i="1"/>
  <c r="H350" i="1"/>
  <c r="G350" i="1"/>
  <c r="H359" i="1"/>
  <c r="F359" i="1"/>
  <c r="G357" i="1"/>
  <c r="H357" i="1"/>
  <c r="E12" i="1"/>
  <c r="E18" i="1"/>
  <c r="E21" i="1"/>
  <c r="G28" i="1"/>
  <c r="G30" i="1"/>
  <c r="G32" i="1"/>
  <c r="G34" i="1"/>
  <c r="G36" i="1"/>
  <c r="G38" i="1"/>
  <c r="G40" i="1"/>
  <c r="H58" i="1"/>
  <c r="H70" i="1" s="1"/>
  <c r="G59" i="1"/>
  <c r="G62" i="1"/>
  <c r="G63" i="1"/>
  <c r="G65" i="1"/>
  <c r="G67" i="1"/>
  <c r="G69" i="1"/>
  <c r="H72" i="1"/>
  <c r="H73" i="1" s="1"/>
  <c r="G77" i="1"/>
  <c r="G81" i="1"/>
  <c r="G85" i="1"/>
  <c r="G93" i="1"/>
  <c r="G96" i="1"/>
  <c r="H107" i="1"/>
  <c r="G108" i="1"/>
  <c r="G132" i="1"/>
  <c r="G134" i="1"/>
  <c r="H137" i="1"/>
  <c r="H139" i="1"/>
  <c r="H143" i="1" s="1"/>
  <c r="H141" i="1"/>
  <c r="G152" i="1"/>
  <c r="H153" i="1"/>
  <c r="H155" i="1"/>
  <c r="F171" i="1"/>
  <c r="G159" i="1"/>
  <c r="D171" i="1"/>
  <c r="H161" i="1"/>
  <c r="G161" i="1"/>
  <c r="G167" i="1"/>
  <c r="H168" i="1"/>
  <c r="H170" i="1"/>
  <c r="F188" i="1"/>
  <c r="G177" i="1"/>
  <c r="D188" i="1"/>
  <c r="H181" i="1"/>
  <c r="G181" i="1"/>
  <c r="H182" i="1"/>
  <c r="H184" i="1"/>
  <c r="G193" i="1"/>
  <c r="D207" i="1"/>
  <c r="H209" i="1"/>
  <c r="H211" i="1" s="1"/>
  <c r="G215" i="1"/>
  <c r="F220" i="1"/>
  <c r="G220" i="1" s="1"/>
  <c r="G218" i="1"/>
  <c r="H219" i="1"/>
  <c r="H222" i="1"/>
  <c r="F227" i="1"/>
  <c r="G227" i="1" s="1"/>
  <c r="G223" i="1"/>
  <c r="H224" i="1"/>
  <c r="H226" i="1"/>
  <c r="D231" i="1"/>
  <c r="G231" i="1" s="1"/>
  <c r="D247" i="1"/>
  <c r="H233" i="1"/>
  <c r="H235" i="1"/>
  <c r="H238" i="1"/>
  <c r="H240" i="1"/>
  <c r="H242" i="1"/>
  <c r="G244" i="1"/>
  <c r="H246" i="1"/>
  <c r="H249" i="1"/>
  <c r="H251" i="1"/>
  <c r="D262" i="1"/>
  <c r="F262" i="1"/>
  <c r="H266" i="1"/>
  <c r="G267" i="1"/>
  <c r="H267" i="1"/>
  <c r="G294" i="1"/>
  <c r="G315" i="1"/>
  <c r="H315" i="1"/>
  <c r="G333" i="1"/>
  <c r="F336" i="1"/>
  <c r="H333" i="1"/>
  <c r="H336" i="1" s="1"/>
  <c r="H341" i="1"/>
  <c r="D342" i="1"/>
  <c r="G341" i="1"/>
  <c r="G352" i="1"/>
  <c r="H352" i="1"/>
  <c r="F371" i="1"/>
  <c r="G371" i="1" s="1"/>
  <c r="G369" i="1"/>
  <c r="H369" i="1"/>
  <c r="H371" i="1" s="1"/>
  <c r="F375" i="1"/>
  <c r="G375" i="1" s="1"/>
  <c r="G373" i="1"/>
  <c r="H373" i="1"/>
  <c r="H375" i="1" s="1"/>
  <c r="F385" i="1"/>
  <c r="G385" i="1" s="1"/>
  <c r="G383" i="1"/>
  <c r="H383" i="1"/>
  <c r="H385" i="1" s="1"/>
  <c r="H12" i="1"/>
  <c r="H28" i="1"/>
  <c r="H42" i="1" s="1"/>
  <c r="H45" i="1"/>
  <c r="H49" i="1"/>
  <c r="G72" i="1"/>
  <c r="H77" i="1"/>
  <c r="H85" i="1"/>
  <c r="H145" i="1"/>
  <c r="H217" i="1"/>
  <c r="H264" i="1"/>
  <c r="H277" i="1" s="1"/>
  <c r="H311" i="1"/>
  <c r="G314" i="1"/>
  <c r="F321" i="1"/>
  <c r="G321" i="1" s="1"/>
  <c r="G319" i="1"/>
  <c r="F326" i="1"/>
  <c r="G326" i="1" s="1"/>
  <c r="G324" i="1"/>
  <c r="G331" i="1"/>
  <c r="F354" i="1"/>
  <c r="G354" i="1" s="1"/>
  <c r="G351" i="1"/>
  <c r="D359" i="1"/>
  <c r="G356" i="1"/>
  <c r="G367" i="1"/>
  <c r="F381" i="1"/>
  <c r="G381" i="1" s="1"/>
  <c r="H344" i="1"/>
  <c r="H348" i="1" s="1"/>
  <c r="H220" i="1" l="1"/>
  <c r="H87" i="1"/>
  <c r="H25" i="1"/>
  <c r="G336" i="1"/>
  <c r="H317" i="1"/>
  <c r="G207" i="1"/>
  <c r="H207" i="1"/>
  <c r="G101" i="1"/>
  <c r="H101" i="1"/>
  <c r="H56" i="1"/>
  <c r="H342" i="1"/>
  <c r="G247" i="1"/>
  <c r="H115" i="1"/>
  <c r="H188" i="1"/>
  <c r="H171" i="1"/>
  <c r="D386" i="1"/>
  <c r="H247" i="1"/>
  <c r="H227" i="1"/>
  <c r="H354" i="1"/>
  <c r="H157" i="1"/>
  <c r="G262" i="1"/>
  <c r="H262" i="1"/>
  <c r="G188" i="1"/>
  <c r="G171" i="1"/>
  <c r="G359" i="1"/>
  <c r="G342" i="1"/>
  <c r="G129" i="1"/>
  <c r="H129" i="1"/>
  <c r="F386" i="1"/>
  <c r="G386" i="1" l="1"/>
  <c r="H386" i="1"/>
</calcChain>
</file>

<file path=xl/sharedStrings.xml><?xml version="1.0" encoding="utf-8"?>
<sst xmlns="http://schemas.openxmlformats.org/spreadsheetml/2006/main" count="971" uniqueCount="163">
  <si>
    <t>(рублей)</t>
  </si>
  <si>
    <t>№ п/п</t>
  </si>
  <si>
    <t xml:space="preserve">Наименование муниципального образования </t>
  </si>
  <si>
    <t>КБК</t>
  </si>
  <si>
    <t>1.</t>
  </si>
  <si>
    <t xml:space="preserve">Городское поселение город Жуков </t>
  </si>
  <si>
    <t>2.</t>
  </si>
  <si>
    <t xml:space="preserve">Городское поселение город Кременки </t>
  </si>
  <si>
    <t>3.</t>
  </si>
  <si>
    <t xml:space="preserve">Городское поселение город Белоусово </t>
  </si>
  <si>
    <t>4.</t>
  </si>
  <si>
    <t>Сельское поселение село Восход</t>
  </si>
  <si>
    <t>5.</t>
  </si>
  <si>
    <t>Сельское поселение село Истье</t>
  </si>
  <si>
    <t>6.</t>
  </si>
  <si>
    <t xml:space="preserve">Сельское поселение село Высокиничи </t>
  </si>
  <si>
    <t>7.</t>
  </si>
  <si>
    <t xml:space="preserve">Сельское поселение деревня Корсаково </t>
  </si>
  <si>
    <t>8.</t>
  </si>
  <si>
    <t xml:space="preserve">Сельское поселение село Совхоз "Победа" </t>
  </si>
  <si>
    <t>9.</t>
  </si>
  <si>
    <t>Сельское поселение деревня Верховье</t>
  </si>
  <si>
    <t>10.</t>
  </si>
  <si>
    <t xml:space="preserve">Сельское поселение село Тарутино </t>
  </si>
  <si>
    <t>11.</t>
  </si>
  <si>
    <t xml:space="preserve">Сельское поселение село Троицкое </t>
  </si>
  <si>
    <t>12.</t>
  </si>
  <si>
    <t>Сельское поселение деревня Тростье</t>
  </si>
  <si>
    <t>13.</t>
  </si>
  <si>
    <t xml:space="preserve">Сельское поселение село Трубино </t>
  </si>
  <si>
    <t>14.</t>
  </si>
  <si>
    <t>Сельское поселение село Совхоз "Чаусово"</t>
  </si>
  <si>
    <t>15.</t>
  </si>
  <si>
    <t xml:space="preserve">Сельское поселение деревня Чубарово </t>
  </si>
  <si>
    <t>Резерв</t>
  </si>
  <si>
    <t>ИТОГО:</t>
  </si>
  <si>
    <t>003 202 45160 13 0001 150</t>
  </si>
  <si>
    <t>003 202 40014 10 0019 150</t>
  </si>
  <si>
    <t>003 202 40014 10 0015 150</t>
  </si>
  <si>
    <t>003 202 40014 13 0015 150</t>
  </si>
  <si>
    <t>003 202 40014 10 0020 150</t>
  </si>
  <si>
    <t>003 202 40014 10 0023 150</t>
  </si>
  <si>
    <t>003 202 40014 10 0025 150</t>
  </si>
  <si>
    <t>003 202 40014 10 0017 150</t>
  </si>
  <si>
    <t>003 202 40014 10 0016 150</t>
  </si>
  <si>
    <t>003 202 40014 10 0028 150</t>
  </si>
  <si>
    <t>003 202 40014 10 0024 150</t>
  </si>
  <si>
    <t>003 202 40014 13 0045 150</t>
  </si>
  <si>
    <t>003 202 40014 10 0029 150</t>
  </si>
  <si>
    <t>003 202 40014 10 0026 150</t>
  </si>
  <si>
    <t xml:space="preserve">1. </t>
  </si>
  <si>
    <t xml:space="preserve">Сельское поселение село Восход </t>
  </si>
  <si>
    <t xml:space="preserve">2. </t>
  </si>
  <si>
    <t>ВСЕГО:</t>
  </si>
  <si>
    <t>Уточненный план</t>
  </si>
  <si>
    <t>Исполнено</t>
  </si>
  <si>
    <t>% исполнения</t>
  </si>
  <si>
    <t>5</t>
  </si>
  <si>
    <t>Городское поселение город Кременки</t>
  </si>
  <si>
    <t>Сельское поселение село Тарутино</t>
  </si>
  <si>
    <t>Приложение № 8</t>
  </si>
  <si>
    <r>
      <t xml:space="preserve">Распределение прочих межбюджетных трансфертов, передаваемых бюджетам сельских поселений </t>
    </r>
    <r>
      <rPr>
        <b/>
        <u/>
        <sz val="12"/>
        <rFont val="Times New Roman"/>
        <family val="1"/>
        <charset val="204"/>
      </rPr>
      <t>на выполнение полномочий</t>
    </r>
    <r>
      <rPr>
        <b/>
        <sz val="12"/>
        <rFont val="Times New Roman"/>
        <family val="1"/>
        <charset val="204"/>
      </rPr>
      <t xml:space="preserve"> муниципальных районов в части обеспечения проживающих в поселении и нуждающихся в жилых помещениях малоимущих граждан жилыми помещениями, организации строительства и содержания муниципального жилищного фонда, создания условий для жилищного строительства, осуществления муниципального жилищного контроля, а также иных полномочий органов местного самоуправления в соответствии с жилищным законодательством (ЦС 0500074110)</t>
    </r>
  </si>
  <si>
    <r>
      <t xml:space="preserve">Распределение прочих межбюджетных трансфертов, передаваемых бюджетам сельских поселений </t>
    </r>
    <r>
      <rPr>
        <b/>
        <u/>
        <sz val="12"/>
        <rFont val="Times New Roman"/>
        <family val="1"/>
        <charset val="204"/>
      </rPr>
      <t>на выполнение полномочий</t>
    </r>
    <r>
      <rPr>
        <b/>
        <sz val="12"/>
        <rFont val="Times New Roman"/>
        <family val="1"/>
        <charset val="204"/>
      </rPr>
      <t xml:space="preserve"> муниципальных районов в части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 (ЦС 0500074120)</t>
    </r>
  </si>
  <si>
    <r>
      <t xml:space="preserve">Распределение прочих межбюджетных трансфертов, передаваемых бюджетам городских поселений </t>
    </r>
    <r>
      <rPr>
        <b/>
        <u/>
        <sz val="12"/>
        <rFont val="Times New Roman"/>
        <family val="1"/>
        <charset val="204"/>
      </rPr>
      <t>на выполнение полномочий</t>
    </r>
    <r>
      <rPr>
        <b/>
        <sz val="12"/>
        <rFont val="Times New Roman"/>
        <family val="1"/>
        <charset val="204"/>
      </rPr>
      <t xml:space="preserve"> муниципальных районов в части организация теплоснабжения в границах сельских поселений Жуковского района (ЦС 0500074190)</t>
    </r>
  </si>
  <si>
    <r>
      <t xml:space="preserve">Распределение прочих межбюджетных трансфертов, передаваемых бюджетам сельских поселений </t>
    </r>
    <r>
      <rPr>
        <b/>
        <u/>
        <sz val="12"/>
        <rFont val="Times New Roman"/>
        <family val="1"/>
        <charset val="204"/>
      </rPr>
      <t>на выполнение полномочий</t>
    </r>
    <r>
      <rPr>
        <b/>
        <sz val="12"/>
        <rFont val="Times New Roman"/>
        <family val="1"/>
        <charset val="204"/>
      </rPr>
      <t xml:space="preserve"> муниципальных районов в части дорожной деятельности в отношении автомобильных дорог местного значения в границах населенных пунктов поселения и обеспечения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(ЦС 2420107500)</t>
    </r>
  </si>
  <si>
    <r>
      <t xml:space="preserve">Распределение прочих межбюджетных трансфертов, передаваемых бюджетам городских поселений </t>
    </r>
    <r>
      <rPr>
        <b/>
        <u/>
        <sz val="12"/>
        <rFont val="Times New Roman"/>
        <family val="1"/>
        <charset val="204"/>
      </rPr>
      <t>на выполнение полномочий</t>
    </r>
    <r>
      <rPr>
        <b/>
        <sz val="12"/>
        <rFont val="Times New Roman"/>
        <family val="1"/>
        <charset val="204"/>
      </rPr>
      <t xml:space="preserve"> муниципальных районов в части организации ритуальных услуг в границах отдельных сельских поселений Жуковского района (ЦС 8000074140)</t>
    </r>
  </si>
  <si>
    <r>
      <t xml:space="preserve">Распределение прочих межбюджетных трансфертов, передаваемых бюджетам городских поселений </t>
    </r>
    <r>
      <rPr>
        <b/>
        <u/>
        <sz val="12"/>
        <rFont val="Times New Roman"/>
        <family val="1"/>
        <charset val="204"/>
      </rPr>
      <t>на выполнение полномочий</t>
    </r>
    <r>
      <rPr>
        <b/>
        <sz val="12"/>
        <rFont val="Times New Roman"/>
        <family val="1"/>
        <charset val="204"/>
      </rPr>
      <t xml:space="preserve"> муниципальных районов в части организации утилизации и переработки бытовых и промышленных отходов (ЦС 8000074160)</t>
    </r>
  </si>
  <si>
    <r>
      <t xml:space="preserve">Распределение прочих межбюджетных трансфертов, передаваемых бюджетам сельских поселений </t>
    </r>
    <r>
      <rPr>
        <b/>
        <u/>
        <sz val="12"/>
        <rFont val="Times New Roman"/>
        <family val="1"/>
        <charset val="204"/>
      </rPr>
      <t>на выполнение полномочий</t>
    </r>
    <r>
      <rPr>
        <b/>
        <sz val="12"/>
        <rFont val="Times New Roman"/>
        <family val="1"/>
        <charset val="204"/>
      </rPr>
      <t xml:space="preserve"> муниципальных районов в части осуществления мер по противодействию коррупции в границах поселения (ЦС 9800074100)</t>
    </r>
  </si>
  <si>
    <t>Распределение прочих межбюджетных трансфертов, передаваемых для компенсации дополнительных расходов, возникших в результате решений, принятых органами власти Жуковского района (ЦС 5100070150)</t>
  </si>
  <si>
    <t>Распределение прочих межбюджетных трансфертов на реализацию мероприятий, направленных на энергосбережение и повышение энергоэффективности МП "Энергосбережение и повышение энергоэффективности в Жуковском районе" (ЦС 3000107910)</t>
  </si>
  <si>
    <t>Распределение прочих межбюджетных трансфертов в рамках подпрограммы "Чистая вода в Жуковском районе" муниципальной программы "Обеспечение доступным и комфортным жильём и коммунальными услугами населения Жуковского района" (ЦС  0520179040)</t>
  </si>
  <si>
    <t>Распределение прочих межбюджетных трансфертов, направленных на реализацию мероприятий муниципальной программы "Развитие физической культуры и спорта в Жуковском районе" (ЦС 1300166010)</t>
  </si>
  <si>
    <t>Распределение прочих межбюджетных трансфертов в рамках МП "Развитие дорожного хозяйства в Жуковском районе" (ЦС 2420107510)</t>
  </si>
  <si>
    <t>Распределение прочих межбюджетных трансфертов бюджетам муниципальных образований на стимулирование муниципальных образований Калужской области - победителей конкурса по благоустройству территории, прилегающей к государственным объектам, оказывающим медицинскую помощь (ЦС 8000000130, ДК 001300)</t>
  </si>
  <si>
    <t>Остаток от годового плана</t>
  </si>
  <si>
    <t>Распределение дотации на выравнивание уровня бюджетной обеспеченности бюджетам поселений (ЦС 5100402220 ДК 002200)</t>
  </si>
  <si>
    <t>16.</t>
  </si>
  <si>
    <t>Распределение субвенции на осуществление государственных полномочий по созданию административных комиссий в муниципальных районах  (ЦС 1200000900 ДК 009000)</t>
  </si>
  <si>
    <r>
      <t xml:space="preserve">Распределение прочих межбюджетных трансфертов, передаваемых бюджетам сельских поселений </t>
    </r>
    <r>
      <rPr>
        <b/>
        <u/>
        <sz val="12"/>
        <rFont val="Times New Roman"/>
        <family val="1"/>
        <charset val="204"/>
      </rPr>
      <t>на выполнение полномочий</t>
    </r>
    <r>
      <rPr>
        <b/>
        <sz val="12"/>
        <rFont val="Times New Roman"/>
        <family val="1"/>
        <charset val="204"/>
      </rPr>
      <t xml:space="preserve"> муниципальных районов в части создания условий для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(ЦС 1000274400)</t>
    </r>
  </si>
  <si>
    <r>
      <t xml:space="preserve">Распределение прочих межбюджетных трансфертов, передаваемых бюджетам сельских поселений </t>
    </r>
    <r>
      <rPr>
        <b/>
        <u/>
        <sz val="12"/>
        <rFont val="Times New Roman"/>
        <family val="1"/>
        <charset val="204"/>
      </rPr>
      <t>на выполнение полномочий</t>
    </r>
    <r>
      <rPr>
        <b/>
        <sz val="12"/>
        <rFont val="Times New Roman"/>
        <family val="1"/>
        <charset val="204"/>
      </rPr>
      <t xml:space="preserve"> муниципальных районов в части осуществления мероприятий по обеспечению безопасности людей на водных объектах, охране их жизни и здоровья (ЦС 1000274600) </t>
    </r>
  </si>
  <si>
    <r>
      <t xml:space="preserve">Распределение прочих межбюджетных трансфертов, передаваемых бюджетам сельских поселений </t>
    </r>
    <r>
      <rPr>
        <b/>
        <u/>
        <sz val="12"/>
        <rFont val="Times New Roman"/>
        <family val="1"/>
        <charset val="204"/>
      </rPr>
      <t>на выполнение полномочий</t>
    </r>
    <r>
      <rPr>
        <b/>
        <sz val="12"/>
        <rFont val="Times New Roman"/>
        <family val="1"/>
        <charset val="204"/>
      </rPr>
      <t xml:space="preserve"> муниципальных районов в части осуществления в пределах, установленных водным законодательством Российской Федерации, полномочий собственника водных объектов, информирования населения об ограничениях их использования (ЦС 1000274700)</t>
    </r>
  </si>
  <si>
    <r>
      <t xml:space="preserve">Распределение прочих межбюджетных трансфертов, передаваемых бюджетам сельских поселений </t>
    </r>
    <r>
      <rPr>
        <b/>
        <u/>
        <sz val="12"/>
        <rFont val="Times New Roman"/>
        <family val="1"/>
        <charset val="204"/>
      </rPr>
      <t>на выполнение полномочий</t>
    </r>
    <r>
      <rPr>
        <b/>
        <sz val="12"/>
        <rFont val="Times New Roman"/>
        <family val="1"/>
        <charset val="204"/>
      </rPr>
      <t xml:space="preserve"> муниципальных районов в части участия в профилактике терроризма и экстремизма, а также в минимизации и (или) ликвидации последствий проявлений терроризма и экстремизма в границах поселения (ЦС 1000474800)</t>
    </r>
  </si>
  <si>
    <r>
      <t xml:space="preserve">Распределение прочих межбюджетных трансфертов, передаваемых бюджетам сельских поселений </t>
    </r>
    <r>
      <rPr>
        <b/>
        <u/>
        <sz val="12"/>
        <rFont val="Times New Roman"/>
        <family val="1"/>
        <charset val="204"/>
      </rPr>
      <t>на выполнение полномочий</t>
    </r>
    <r>
      <rPr>
        <b/>
        <sz val="12"/>
        <rFont val="Times New Roman"/>
        <family val="1"/>
        <charset val="204"/>
      </rPr>
      <t xml:space="preserve"> муниципальных районов в части утверждения генеральных планов поселения,утверждения подготовленной на основе генеральных планов поселения документации по планировке территории,  резервирования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(ЦС 5800074900) </t>
    </r>
  </si>
  <si>
    <r>
      <t xml:space="preserve">Распределение прочих межбюджетных трансфертов, передаваемых бюджетам сельских поселений </t>
    </r>
    <r>
      <rPr>
        <b/>
        <u/>
        <sz val="12"/>
        <rFont val="Times New Roman"/>
        <family val="1"/>
        <charset val="204"/>
      </rPr>
      <t>на выполнение полномочий</t>
    </r>
    <r>
      <rPr>
        <b/>
        <sz val="12"/>
        <rFont val="Times New Roman"/>
        <family val="1"/>
        <charset val="204"/>
      </rPr>
      <t xml:space="preserve"> муниципальных районов в части участия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(ЦС 8000074130)</t>
    </r>
  </si>
  <si>
    <r>
      <t xml:space="preserve">Распределение прочих межбюджетных трансфертов, передаваемых бюджетам сельских поселений </t>
    </r>
    <r>
      <rPr>
        <b/>
        <u/>
        <sz val="12"/>
        <rFont val="Times New Roman"/>
        <family val="1"/>
        <charset val="204"/>
      </rPr>
      <t>на выполнение полномочий</t>
    </r>
    <r>
      <rPr>
        <b/>
        <sz val="12"/>
        <rFont val="Times New Roman"/>
        <family val="1"/>
        <charset val="204"/>
      </rPr>
      <t xml:space="preserve"> муниципальных районов в части содержания мест захоронения (ЦС 8000074150) </t>
    </r>
  </si>
  <si>
    <t>Распределение прочих межбюджетных трансфертов, передаваемых бюджетам городских поселений на реализацию мероприятий по взаимодействию с поселениями (ЦС 1000470660)</t>
  </si>
  <si>
    <t>00320245160100001150</t>
  </si>
  <si>
    <t>003 202 49999 10 0038 150</t>
  </si>
  <si>
    <t>003 202 45160 10 0001 150</t>
  </si>
  <si>
    <t>003 202 49999 10 0266 150</t>
  </si>
  <si>
    <t xml:space="preserve">Распределение прочих межбюджетных трансфертов на обеспечение расходных обязательств МО за счет средств районного бюджета (510W200150) - для софинансирования </t>
  </si>
  <si>
    <t>003 202 49999 13 0444 150</t>
  </si>
  <si>
    <t>003 202 49999 10 0444 150</t>
  </si>
  <si>
    <t>003 202 49999 10(13) 0444 150</t>
  </si>
  <si>
    <t>003 202 49999 10 0032 150</t>
  </si>
  <si>
    <t>Распределение прочих межбюджетных трансфертов в рамках МП "Развитие дорожного хозяйства в Жуковском районе" на развитие системы организации движения транспортных средств и пешеходов и повышение безопасности дорожных условий района (ЦС 24Б0107540)</t>
  </si>
  <si>
    <t>003 202 45160 13 001 150</t>
  </si>
  <si>
    <t>Распределение прочих межбюджетных трансфертов на реализацию мероприятий подпрограммы "Совершенствование и развитие сети автомобильных дорог Калужской области" (ЦС  24201S5000 ДК 850000)</t>
  </si>
  <si>
    <t>003 202 49999 13 0276 150</t>
  </si>
  <si>
    <t>003 202 49999 10 0276 150</t>
  </si>
  <si>
    <t>003 202 49999 10 0286 150</t>
  </si>
  <si>
    <t>003 2 02 49999 10 0030 150</t>
  </si>
  <si>
    <t>Распределение прочих межбюджетных трансфертов на реализацию мероприятий по созданию и содержанию мест (площадок) накопления твердых коммунальных отходов (ЦС 12001S2122 ДК 821220)</t>
  </si>
  <si>
    <t>003 2 02 49999 10 0331 150</t>
  </si>
  <si>
    <t xml:space="preserve">Распределение прочих межбюджетных трансфертов, передаваемых бюджетам сельских поселений из бюджетов муниципальных районов в рамках МП "Охрана окружающей среды в Жуковском районе" (ЦС 1200163110)            </t>
  </si>
  <si>
    <t>Распределение прочих межбюджетных трансфертов, направляемых на реализацию подпрограммы "Развитие учреждений культуры и образования в сфере культуры" муниципальной программы "Развитие культуры в Жуковском районе" (ЦС 1110705090)</t>
  </si>
  <si>
    <t>003 2 02 49999 13 0043 150</t>
  </si>
  <si>
    <t>003 2 02 49999 10 0043 150</t>
  </si>
  <si>
    <t>Распределение прочих межбюджетных трансфертов, передаваемых бюджетам сельских поселений на реализацию мероприятий муниципальной программы "Комплексное развитие сельских территорий в Жуковском районе" за счет средств районного бюджета (ЦС 08201L5760) - на софинансирование</t>
  </si>
  <si>
    <t>Распределение прочих межбюджетных трансфертов на обеспечение финансовой устойчивости МО за счет средств районного бюджета  ( ЦС 51002S0250) - на софинансирование</t>
  </si>
  <si>
    <t xml:space="preserve">Распределение прочих межбюджетных трансфертов на обеспечение расходных обязательств МО (5100200150 ДК 001500 и ДК 11) </t>
  </si>
  <si>
    <t>Распределение прочих межбюджетных трансфертов на реализацию мероприятий подпрограммы "Совершенствование и развитие сети автомобильных дорог Калужской области" в рамках МП "Развитие дорожного хозяйства в Жуковском районе" (ЦС 242010S5000 - на софинансирование)</t>
  </si>
  <si>
    <t>к решению Районного Собрания МО "Жуковский район" "Об исполнении бюджета МО "Жуковский район" за 2022 год</t>
  </si>
  <si>
    <t>Исполнение по межбюджетным трансфертам, предоставленным бюджетам поселений из бюджета МО "Жуковский район" за 2022 год</t>
  </si>
  <si>
    <t>003 202 15001 13 0315 150</t>
  </si>
  <si>
    <t>003 202 15001 10 0315 150</t>
  </si>
  <si>
    <t>0032021500110(13)0315150</t>
  </si>
  <si>
    <t>003 202 30024 13 0332 150</t>
  </si>
  <si>
    <t>003 202 30024 10 0332 150</t>
  </si>
  <si>
    <t>003 023002410(13 0332150</t>
  </si>
  <si>
    <t>00320240014100019150</t>
  </si>
  <si>
    <t>00320240014100015150</t>
  </si>
  <si>
    <t>00320240014130015150</t>
  </si>
  <si>
    <t>00320240014100020150</t>
  </si>
  <si>
    <t>00320240014100023150</t>
  </si>
  <si>
    <t>00320240014100025150</t>
  </si>
  <si>
    <t>00320240014100017150</t>
  </si>
  <si>
    <t>00320240014100016150</t>
  </si>
  <si>
    <t>00320240014100028150</t>
  </si>
  <si>
    <t>00320240014100024150</t>
  </si>
  <si>
    <t>00320240014130045150</t>
  </si>
  <si>
    <t>00320240014100029150</t>
  </si>
  <si>
    <t>00320240014100026150</t>
  </si>
  <si>
    <t>00320245160130001150</t>
  </si>
  <si>
    <t>0032024516010(13)0001150</t>
  </si>
  <si>
    <t>0032024999910(13)0038150</t>
  </si>
  <si>
    <t>003 202 49999 13 0266 150</t>
  </si>
  <si>
    <t>00320249999100266150</t>
  </si>
  <si>
    <t>Распределение прочих межбюджетных трансфертов на обеспечение финансовой устойчивости МО ( ЦС 51002S0250 ДК 002500)</t>
  </si>
  <si>
    <t>0032024999910(13)0444150</t>
  </si>
  <si>
    <t>0032024999910(13)0032150</t>
  </si>
  <si>
    <t xml:space="preserve">Распределение иных межбюджетных трансфертов на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 (ЦС 05201S7020 ДК 870200) </t>
  </si>
  <si>
    <t>003 202 49999 10 0273 150</t>
  </si>
  <si>
    <t>003 202 49999 10(13) 0273 150</t>
  </si>
  <si>
    <t>0032024516013001150</t>
  </si>
  <si>
    <t>0032024999910(13)0276150</t>
  </si>
  <si>
    <t>003 2 02 49999 13 0030 150</t>
  </si>
  <si>
    <t>0032024999910(13)0030150</t>
  </si>
  <si>
    <t>Распределение прочих межбюджетных трансфертов на реализацию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хозяйстваэнергосбережение и повышение энергоэффективности в Калужской области (ЦС 30001S9111 ДК 891110)</t>
  </si>
  <si>
    <t>003 202 49999 13 0286 150</t>
  </si>
  <si>
    <t>0032024999910(13)0286150</t>
  </si>
  <si>
    <t>003 202 40014 10 0031 150</t>
  </si>
  <si>
    <t>00320240014100031150</t>
  </si>
  <si>
    <t>0032024999910(13)0331150</t>
  </si>
  <si>
    <t>0032024999910(13)0043150</t>
  </si>
  <si>
    <t>Распределение прочих межбюджетных трансфертов бюджетам поселений из бюджета МО "Жуковский район" в рамках МП "Благоустройство территории муниципального района "Жуковский район" (ЦС 8000000660)</t>
  </si>
  <si>
    <t>003 202 49999 10 0046 150</t>
  </si>
  <si>
    <t>00320249999(10)0445150</t>
  </si>
  <si>
    <t>0032024999910(13)0046150</t>
  </si>
  <si>
    <t>003 202 49999 10 0445 150</t>
  </si>
  <si>
    <t>Распределение прочих межбюджетных трансфертов, направляемых на реализацию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 (ЦС0560179020)</t>
  </si>
  <si>
    <t>Распределение прочих межбюджетных трансфертов, передаваемых для реализации мероприятий формирования КГС за счет средств районного бюджета (ЦС 5100055550) - на софинансирование</t>
  </si>
  <si>
    <t>Распределение прочих межбюджетных трансфертов на реализацию проектов развития общественной инфраструктуры МО, основанных на местных инициативах за счет средств районного бюджета (ЦС 5100900240) - на софинансирование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</si>
</sst>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ourier"/>
      <family val="1"/>
      <charset val="204"/>
    </font>
    <font>
      <b/>
      <u/>
      <sz val="12"/>
      <name val="Times New Roman"/>
      <family val="1"/>
      <charset val="204"/>
    </font>
    <font>
      <sz val="10"/>
      <color rgb="FF000000"/>
      <name val="Arial Cyr"/>
      <family val="2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1" fontId="6" fillId="0" borderId="2">
      <alignment horizontal="center" vertical="top" shrinkToFit="1"/>
    </xf>
  </cellStyleXfs>
  <cellXfs count="90">
    <xf numFmtId="0" fontId="0" fillId="0" borderId="0" xfId="0"/>
    <xf numFmtId="4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Border="1" applyAlignment="1"/>
    <xf numFmtId="4" fontId="1" fillId="0" borderId="1" xfId="0" applyNumberFormat="1" applyFont="1" applyBorder="1" applyAlignment="1"/>
    <xf numFmtId="0" fontId="2" fillId="0" borderId="0" xfId="0" applyNumberFormat="1" applyFont="1" applyBorder="1" applyAlignment="1">
      <alignment wrapText="1"/>
    </xf>
    <xf numFmtId="49" fontId="2" fillId="0" borderId="0" xfId="0" applyNumberFormat="1" applyFont="1" applyAlignment="1">
      <alignment horizontal="right" wrapText="1"/>
    </xf>
    <xf numFmtId="0" fontId="2" fillId="0" borderId="0" xfId="0" applyFont="1"/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/>
    <xf numFmtId="0" fontId="1" fillId="0" borderId="0" xfId="0" applyFont="1" applyAlignment="1"/>
    <xf numFmtId="0" fontId="9" fillId="0" borderId="1" xfId="0" applyFont="1" applyBorder="1" applyAlignment="1">
      <alignment horizontal="center"/>
    </xf>
    <xf numFmtId="0" fontId="7" fillId="0" borderId="0" xfId="0" applyFont="1"/>
    <xf numFmtId="0" fontId="10" fillId="0" borderId="0" xfId="0" applyFont="1"/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1" applyFont="1" applyFill="1" applyBorder="1" applyAlignment="1" applyProtection="1">
      <alignment horizontal="left"/>
    </xf>
    <xf numFmtId="4" fontId="1" fillId="0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/>
    <xf numFmtId="0" fontId="2" fillId="0" borderId="1" xfId="0" applyFont="1" applyBorder="1" applyAlignment="1"/>
    <xf numFmtId="4" fontId="2" fillId="0" borderId="1" xfId="1" applyNumberFormat="1" applyFont="1" applyFill="1" applyBorder="1" applyAlignment="1" applyProtection="1">
      <alignment horizontal="right"/>
    </xf>
    <xf numFmtId="49" fontId="7" fillId="0" borderId="1" xfId="1" applyNumberFormat="1" applyFont="1" applyFill="1" applyBorder="1" applyAlignment="1" applyProtection="1">
      <alignment horizontal="left"/>
    </xf>
    <xf numFmtId="4" fontId="1" fillId="0" borderId="1" xfId="1" applyNumberFormat="1" applyFont="1" applyFill="1" applyBorder="1" applyAlignment="1" applyProtection="1">
      <alignment horizontal="right"/>
    </xf>
    <xf numFmtId="0" fontId="1" fillId="2" borderId="1" xfId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>
      <alignment horizontal="right" wrapText="1"/>
    </xf>
    <xf numFmtId="0" fontId="2" fillId="2" borderId="1" xfId="1" applyFont="1" applyFill="1" applyBorder="1" applyAlignment="1" applyProtection="1">
      <alignment horizontal="left"/>
    </xf>
    <xf numFmtId="4" fontId="2" fillId="0" borderId="1" xfId="0" applyNumberFormat="1" applyFont="1" applyBorder="1" applyAlignment="1">
      <alignment horizontal="left" wrapText="1"/>
    </xf>
    <xf numFmtId="4" fontId="2" fillId="0" borderId="0" xfId="0" applyNumberFormat="1" applyFont="1" applyAlignment="1"/>
    <xf numFmtId="4" fontId="1" fillId="0" borderId="1" xfId="1" applyNumberFormat="1" applyFont="1" applyFill="1" applyBorder="1" applyAlignment="1" applyProtection="1">
      <alignment horizontal="left"/>
    </xf>
    <xf numFmtId="0" fontId="8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/>
    <xf numFmtId="0" fontId="2" fillId="0" borderId="3" xfId="0" applyFont="1" applyBorder="1" applyAlignment="1"/>
    <xf numFmtId="0" fontId="2" fillId="0" borderId="7" xfId="0" applyFont="1" applyBorder="1" applyAlignment="1">
      <alignment horizontal="center"/>
    </xf>
    <xf numFmtId="4" fontId="2" fillId="0" borderId="8" xfId="0" applyNumberFormat="1" applyFont="1" applyBorder="1" applyAlignment="1"/>
    <xf numFmtId="49" fontId="7" fillId="0" borderId="1" xfId="0" applyNumberFormat="1" applyFont="1" applyBorder="1" applyAlignment="1">
      <alignment horizontal="left" wrapText="1"/>
    </xf>
    <xf numFmtId="0" fontId="1" fillId="0" borderId="7" xfId="0" applyFont="1" applyBorder="1" applyAlignment="1"/>
    <xf numFmtId="4" fontId="1" fillId="0" borderId="8" xfId="0" applyNumberFormat="1" applyFont="1" applyFill="1" applyBorder="1" applyAlignment="1">
      <alignment horizontal="right" wrapText="1"/>
    </xf>
    <xf numFmtId="0" fontId="2" fillId="0" borderId="7" xfId="0" applyFont="1" applyBorder="1" applyAlignment="1"/>
    <xf numFmtId="49" fontId="7" fillId="0" borderId="1" xfId="2" applyNumberFormat="1" applyFont="1" applyBorder="1" applyAlignment="1" applyProtection="1">
      <alignment horizontal="left" shrinkToFit="1"/>
    </xf>
    <xf numFmtId="0" fontId="2" fillId="0" borderId="7" xfId="0" applyNumberFormat="1" applyFont="1" applyBorder="1" applyAlignment="1">
      <alignment wrapText="1"/>
    </xf>
    <xf numFmtId="4" fontId="1" fillId="0" borderId="8" xfId="1" applyNumberFormat="1" applyFont="1" applyFill="1" applyBorder="1" applyAlignment="1" applyProtection="1">
      <alignment horizontal="right"/>
    </xf>
    <xf numFmtId="4" fontId="1" fillId="2" borderId="8" xfId="0" applyNumberFormat="1" applyFont="1" applyFill="1" applyBorder="1" applyAlignment="1">
      <alignment horizontal="right" wrapText="1"/>
    </xf>
    <xf numFmtId="0" fontId="1" fillId="0" borderId="7" xfId="0" applyFont="1" applyBorder="1" applyAlignment="1">
      <alignment horizontal="center"/>
    </xf>
    <xf numFmtId="4" fontId="2" fillId="0" borderId="7" xfId="0" applyNumberFormat="1" applyFont="1" applyBorder="1" applyAlignment="1">
      <alignment horizontal="center"/>
    </xf>
    <xf numFmtId="0" fontId="2" fillId="0" borderId="18" xfId="0" applyFont="1" applyBorder="1" applyAlignment="1"/>
    <xf numFmtId="0" fontId="1" fillId="0" borderId="7" xfId="0" applyFont="1" applyBorder="1" applyAlignment="1">
      <alignment horizontal="center" wrapText="1"/>
    </xf>
    <xf numFmtId="0" fontId="2" fillId="0" borderId="18" xfId="0" applyFont="1" applyBorder="1" applyAlignment="1">
      <alignment horizontal="center"/>
    </xf>
    <xf numFmtId="0" fontId="1" fillId="0" borderId="19" xfId="0" applyFont="1" applyBorder="1" applyAlignment="1"/>
    <xf numFmtId="0" fontId="1" fillId="0" borderId="20" xfId="1" applyFont="1" applyFill="1" applyBorder="1" applyAlignment="1" applyProtection="1">
      <alignment horizontal="left"/>
    </xf>
    <xf numFmtId="49" fontId="8" fillId="0" borderId="20" xfId="0" applyNumberFormat="1" applyFont="1" applyBorder="1"/>
    <xf numFmtId="4" fontId="1" fillId="0" borderId="20" xfId="0" applyNumberFormat="1" applyFont="1" applyBorder="1"/>
    <xf numFmtId="4" fontId="1" fillId="0" borderId="20" xfId="0" applyNumberFormat="1" applyFont="1" applyBorder="1" applyAlignment="1"/>
    <xf numFmtId="49" fontId="7" fillId="2" borderId="1" xfId="1" applyNumberFormat="1" applyFont="1" applyFill="1" applyBorder="1" applyAlignment="1" applyProtection="1">
      <alignment horizontal="left"/>
    </xf>
    <xf numFmtId="2" fontId="1" fillId="0" borderId="9" xfId="1" applyNumberFormat="1" applyFont="1" applyFill="1" applyBorder="1" applyAlignment="1" applyProtection="1">
      <alignment horizontal="center" wrapText="1"/>
    </xf>
    <xf numFmtId="0" fontId="11" fillId="0" borderId="10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" fillId="0" borderId="9" xfId="1" applyFont="1" applyFill="1" applyBorder="1" applyAlignment="1" applyProtection="1">
      <alignment horizontal="center" wrapText="1"/>
    </xf>
    <xf numFmtId="0" fontId="1" fillId="0" borderId="12" xfId="0" applyFont="1" applyBorder="1" applyAlignment="1">
      <alignment horizontal="center" wrapText="1"/>
    </xf>
    <xf numFmtId="0" fontId="11" fillId="0" borderId="13" xfId="0" applyFont="1" applyBorder="1" applyAlignment="1">
      <alignment horizontal="center" wrapText="1"/>
    </xf>
    <xf numFmtId="0" fontId="11" fillId="0" borderId="14" xfId="0" applyFont="1" applyBorder="1" applyAlignment="1">
      <alignment horizontal="center" wrapText="1"/>
    </xf>
    <xf numFmtId="0" fontId="1" fillId="2" borderId="15" xfId="1" applyFont="1" applyFill="1" applyBorder="1" applyAlignment="1" applyProtection="1">
      <alignment horizontal="center" vertical="top" wrapText="1"/>
    </xf>
    <xf numFmtId="0" fontId="11" fillId="0" borderId="16" xfId="0" applyFont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49" fontId="1" fillId="0" borderId="9" xfId="0" applyNumberFormat="1" applyFont="1" applyBorder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0" fontId="1" fillId="2" borderId="9" xfId="1" applyFont="1" applyFill="1" applyBorder="1" applyAlignment="1" applyProtection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9" xfId="0" applyNumberFormat="1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3" xfId="0" applyFont="1" applyBorder="1" applyAlignment="1">
      <alignment wrapText="1"/>
    </xf>
    <xf numFmtId="0" fontId="11" fillId="0" borderId="14" xfId="0" applyFont="1" applyBorder="1" applyAlignment="1">
      <alignment wrapText="1"/>
    </xf>
    <xf numFmtId="0" fontId="1" fillId="0" borderId="15" xfId="0" applyFont="1" applyBorder="1" applyAlignment="1">
      <alignment horizontal="center" wrapText="1"/>
    </xf>
    <xf numFmtId="0" fontId="1" fillId="0" borderId="10" xfId="1" applyFont="1" applyFill="1" applyBorder="1" applyAlignment="1" applyProtection="1">
      <alignment horizontal="center" wrapText="1"/>
    </xf>
    <xf numFmtId="0" fontId="1" fillId="0" borderId="11" xfId="1" applyFont="1" applyFill="1" applyBorder="1" applyAlignment="1" applyProtection="1">
      <alignment horizontal="center" wrapText="1"/>
    </xf>
  </cellXfs>
  <cellStyles count="3">
    <cellStyle name="xl23" xfId="2"/>
    <cellStyle name="Обычный" xfId="0" builtinId="0"/>
    <cellStyle name="Обычный_MUNIC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6"/>
  <sheetViews>
    <sheetView tabSelected="1" view="pageBreakPreview" zoomScaleNormal="100" zoomScaleSheetLayoutView="100" workbookViewId="0">
      <pane xSplit="1" ySplit="7" topLeftCell="B372" activePane="bottomRight" state="frozen"/>
      <selection pane="topRight" activeCell="B1" sqref="B1"/>
      <selection pane="bottomLeft" activeCell="A8" sqref="A8"/>
      <selection pane="bottomRight" activeCell="K313" sqref="K313"/>
    </sheetView>
  </sheetViews>
  <sheetFormatPr defaultRowHeight="15.75" x14ac:dyDescent="0.25"/>
  <cols>
    <col min="1" max="1" width="5.7109375" style="6" customWidth="1"/>
    <col min="2" max="2" width="60.7109375" style="6" customWidth="1"/>
    <col min="3" max="3" width="27.7109375" style="15" hidden="1" customWidth="1"/>
    <col min="4" max="4" width="17.28515625" style="6" bestFit="1" customWidth="1"/>
    <col min="5" max="5" width="17.28515625" style="6" hidden="1" customWidth="1"/>
    <col min="6" max="6" width="17.28515625" style="6" bestFit="1" customWidth="1"/>
    <col min="7" max="7" width="13.42578125" style="5" bestFit="1" customWidth="1"/>
    <col min="8" max="8" width="14.140625" style="6" hidden="1" customWidth="1"/>
    <col min="9" max="16384" width="9.140625" style="6"/>
  </cols>
  <sheetData>
    <row r="1" spans="1:8" x14ac:dyDescent="0.25">
      <c r="D1" s="78" t="s">
        <v>60</v>
      </c>
      <c r="E1" s="78"/>
      <c r="F1" s="78"/>
      <c r="G1" s="78"/>
    </row>
    <row r="2" spans="1:8" s="12" customFormat="1" ht="36.75" customHeight="1" x14ac:dyDescent="0.2">
      <c r="C2" s="16"/>
      <c r="D2" s="78" t="s">
        <v>112</v>
      </c>
      <c r="E2" s="78"/>
      <c r="F2" s="78"/>
      <c r="G2" s="78"/>
    </row>
    <row r="3" spans="1:8" ht="39" customHeight="1" x14ac:dyDescent="0.25">
      <c r="A3" s="79" t="s">
        <v>113</v>
      </c>
      <c r="B3" s="79"/>
      <c r="C3" s="79"/>
      <c r="D3" s="79"/>
      <c r="E3" s="79"/>
      <c r="F3" s="79"/>
      <c r="G3" s="80"/>
    </row>
    <row r="4" spans="1:8" hidden="1" x14ac:dyDescent="0.25">
      <c r="A4" s="79"/>
      <c r="B4" s="81"/>
      <c r="C4" s="81"/>
      <c r="D4" s="81"/>
      <c r="E4" s="81"/>
      <c r="F4" s="81"/>
      <c r="G4" s="81"/>
    </row>
    <row r="5" spans="1:8" x14ac:dyDescent="0.25">
      <c r="A5" s="38"/>
      <c r="B5" s="38"/>
      <c r="C5" s="7"/>
      <c r="D5" s="38"/>
      <c r="E5" s="38"/>
      <c r="F5" s="8"/>
      <c r="G5" s="8" t="s">
        <v>0</v>
      </c>
    </row>
    <row r="6" spans="1:8" ht="39.75" customHeight="1" x14ac:dyDescent="0.25">
      <c r="A6" s="9" t="s">
        <v>1</v>
      </c>
      <c r="B6" s="9" t="s">
        <v>2</v>
      </c>
      <c r="C6" s="10" t="s">
        <v>3</v>
      </c>
      <c r="D6" s="9" t="s">
        <v>54</v>
      </c>
      <c r="E6" s="9"/>
      <c r="F6" s="9" t="s">
        <v>55</v>
      </c>
      <c r="G6" s="9" t="s">
        <v>56</v>
      </c>
      <c r="H6" s="9" t="s">
        <v>74</v>
      </c>
    </row>
    <row r="7" spans="1:8" s="11" customFormat="1" ht="17.25" thickBot="1" x14ac:dyDescent="0.3">
      <c r="A7" s="9">
        <v>1</v>
      </c>
      <c r="B7" s="9">
        <v>2</v>
      </c>
      <c r="C7" s="36"/>
      <c r="D7" s="9">
        <v>3</v>
      </c>
      <c r="E7" s="9"/>
      <c r="F7" s="9">
        <v>4</v>
      </c>
      <c r="G7" s="37" t="s">
        <v>57</v>
      </c>
      <c r="H7" s="14"/>
    </row>
    <row r="8" spans="1:8" s="39" customFormat="1" ht="33.75" customHeight="1" x14ac:dyDescent="0.25">
      <c r="A8" s="40"/>
      <c r="B8" s="82" t="s">
        <v>75</v>
      </c>
      <c r="C8" s="83"/>
      <c r="D8" s="83"/>
      <c r="E8" s="83"/>
      <c r="F8" s="83"/>
      <c r="G8" s="83"/>
      <c r="H8" s="84"/>
    </row>
    <row r="9" spans="1:8" s="39" customFormat="1" x14ac:dyDescent="0.25">
      <c r="A9" s="41" t="s">
        <v>4</v>
      </c>
      <c r="B9" s="17" t="s">
        <v>5</v>
      </c>
      <c r="C9" s="28" t="s">
        <v>114</v>
      </c>
      <c r="D9" s="18">
        <v>4840000</v>
      </c>
      <c r="E9" s="19">
        <f>D9/12*12</f>
        <v>4840000</v>
      </c>
      <c r="F9" s="18">
        <f>806666+403333+403333+806666+403333+2016669</f>
        <v>4840000</v>
      </c>
      <c r="G9" s="2">
        <f>F9/D9*100</f>
        <v>100</v>
      </c>
      <c r="H9" s="42">
        <f t="shared" ref="H9:H24" si="0">D9-F9</f>
        <v>0</v>
      </c>
    </row>
    <row r="10" spans="1:8" s="39" customFormat="1" x14ac:dyDescent="0.25">
      <c r="A10" s="41" t="s">
        <v>6</v>
      </c>
      <c r="B10" s="17" t="s">
        <v>7</v>
      </c>
      <c r="C10" s="28" t="s">
        <v>114</v>
      </c>
      <c r="D10" s="20">
        <v>12494000</v>
      </c>
      <c r="E10" s="19">
        <f t="shared" ref="E10:E23" si="1">D10/12*12</f>
        <v>12494000</v>
      </c>
      <c r="F10" s="20">
        <f>2000000+2000000+1500000+1000000+1700000+1100000+1000000+1100000+1094000</f>
        <v>12494000</v>
      </c>
      <c r="G10" s="2">
        <f t="shared" ref="G10:G23" si="2">F10/D10*100</f>
        <v>100</v>
      </c>
      <c r="H10" s="42">
        <f t="shared" si="0"/>
        <v>0</v>
      </c>
    </row>
    <row r="11" spans="1:8" s="39" customFormat="1" x14ac:dyDescent="0.25">
      <c r="A11" s="41" t="s">
        <v>8</v>
      </c>
      <c r="B11" s="17" t="s">
        <v>9</v>
      </c>
      <c r="C11" s="28" t="s">
        <v>114</v>
      </c>
      <c r="D11" s="20">
        <v>8102000</v>
      </c>
      <c r="E11" s="19">
        <f t="shared" si="1"/>
        <v>8102000</v>
      </c>
      <c r="F11" s="20">
        <f>2000000+2000000+1000000+1000000+700000+1402000</f>
        <v>8102000</v>
      </c>
      <c r="G11" s="2">
        <f t="shared" si="2"/>
        <v>100</v>
      </c>
      <c r="H11" s="42">
        <f t="shared" si="0"/>
        <v>0</v>
      </c>
    </row>
    <row r="12" spans="1:8" s="39" customFormat="1" x14ac:dyDescent="0.25">
      <c r="A12" s="41" t="s">
        <v>10</v>
      </c>
      <c r="B12" s="17" t="s">
        <v>11</v>
      </c>
      <c r="C12" s="28" t="s">
        <v>115</v>
      </c>
      <c r="D12" s="20">
        <f>5982000+500000+189287</f>
        <v>6671287</v>
      </c>
      <c r="E12" s="19">
        <f t="shared" si="1"/>
        <v>6671287</v>
      </c>
      <c r="F12" s="20">
        <f>500000+500000+500000+500000+500000+500000+600000+600000+1000000+1471287</f>
        <v>6671287</v>
      </c>
      <c r="G12" s="2">
        <f t="shared" si="2"/>
        <v>100</v>
      </c>
      <c r="H12" s="42">
        <f t="shared" si="0"/>
        <v>0</v>
      </c>
    </row>
    <row r="13" spans="1:8" s="39" customFormat="1" x14ac:dyDescent="0.25">
      <c r="A13" s="41" t="s">
        <v>12</v>
      </c>
      <c r="B13" s="17" t="s">
        <v>13</v>
      </c>
      <c r="C13" s="28" t="s">
        <v>115</v>
      </c>
      <c r="D13" s="20">
        <v>982479</v>
      </c>
      <c r="E13" s="19">
        <f t="shared" si="1"/>
        <v>982479</v>
      </c>
      <c r="F13" s="20">
        <f>491000+491479</f>
        <v>982479</v>
      </c>
      <c r="G13" s="2">
        <f t="shared" si="2"/>
        <v>100</v>
      </c>
      <c r="H13" s="42">
        <f t="shared" si="0"/>
        <v>0</v>
      </c>
    </row>
    <row r="14" spans="1:8" s="39" customFormat="1" x14ac:dyDescent="0.25">
      <c r="A14" s="41" t="s">
        <v>14</v>
      </c>
      <c r="B14" s="17" t="s">
        <v>15</v>
      </c>
      <c r="C14" s="28" t="s">
        <v>115</v>
      </c>
      <c r="D14" s="20">
        <f>8560000+823605</f>
        <v>9383605</v>
      </c>
      <c r="E14" s="19">
        <f t="shared" si="1"/>
        <v>9383605</v>
      </c>
      <c r="F14" s="20">
        <f>700000+700000+700000+700000+950000+700000+700000+900000+300000+600000+602539+500000+300000+1031066</f>
        <v>9383605</v>
      </c>
      <c r="G14" s="2">
        <f t="shared" si="2"/>
        <v>100</v>
      </c>
      <c r="H14" s="42">
        <f t="shared" si="0"/>
        <v>0</v>
      </c>
    </row>
    <row r="15" spans="1:8" s="39" customFormat="1" x14ac:dyDescent="0.25">
      <c r="A15" s="41" t="s">
        <v>16</v>
      </c>
      <c r="B15" s="17" t="s">
        <v>17</v>
      </c>
      <c r="C15" s="28" t="s">
        <v>115</v>
      </c>
      <c r="D15" s="20">
        <v>790000</v>
      </c>
      <c r="E15" s="19">
        <f t="shared" si="1"/>
        <v>790000</v>
      </c>
      <c r="F15" s="20">
        <f>395000+395000</f>
        <v>790000</v>
      </c>
      <c r="G15" s="2">
        <f t="shared" si="2"/>
        <v>100</v>
      </c>
      <c r="H15" s="42">
        <f t="shared" si="0"/>
        <v>0</v>
      </c>
    </row>
    <row r="16" spans="1:8" s="39" customFormat="1" x14ac:dyDescent="0.25">
      <c r="A16" s="41" t="s">
        <v>18</v>
      </c>
      <c r="B16" s="17" t="s">
        <v>19</v>
      </c>
      <c r="C16" s="28" t="s">
        <v>115</v>
      </c>
      <c r="D16" s="20">
        <v>2569000</v>
      </c>
      <c r="E16" s="19">
        <f t="shared" si="1"/>
        <v>2569000</v>
      </c>
      <c r="F16" s="20">
        <f>1000000+500000+500000+269000+300000</f>
        <v>2569000</v>
      </c>
      <c r="G16" s="2">
        <f t="shared" si="2"/>
        <v>100</v>
      </c>
      <c r="H16" s="42">
        <f t="shared" si="0"/>
        <v>0</v>
      </c>
    </row>
    <row r="17" spans="1:8" s="39" customFormat="1" x14ac:dyDescent="0.25">
      <c r="A17" s="41" t="s">
        <v>20</v>
      </c>
      <c r="B17" s="17" t="s">
        <v>21</v>
      </c>
      <c r="C17" s="28" t="s">
        <v>115</v>
      </c>
      <c r="D17" s="20">
        <v>1068000</v>
      </c>
      <c r="E17" s="19">
        <f t="shared" si="1"/>
        <v>1068000</v>
      </c>
      <c r="F17" s="20">
        <f>250000+818000</f>
        <v>1068000</v>
      </c>
      <c r="G17" s="2">
        <f t="shared" si="2"/>
        <v>100</v>
      </c>
      <c r="H17" s="42">
        <f t="shared" si="0"/>
        <v>0</v>
      </c>
    </row>
    <row r="18" spans="1:8" s="39" customFormat="1" x14ac:dyDescent="0.25">
      <c r="A18" s="41" t="s">
        <v>22</v>
      </c>
      <c r="B18" s="17" t="s">
        <v>23</v>
      </c>
      <c r="C18" s="28" t="s">
        <v>115</v>
      </c>
      <c r="D18" s="20">
        <f>8097000+719580+687065</f>
        <v>9503645</v>
      </c>
      <c r="E18" s="19">
        <f t="shared" si="1"/>
        <v>9503645</v>
      </c>
      <c r="F18" s="20">
        <f>700000+700000+700000+700000+1500000+650000+850000+650000+600000+400000+1000000+1053645</f>
        <v>9503645</v>
      </c>
      <c r="G18" s="2">
        <f t="shared" si="2"/>
        <v>100</v>
      </c>
      <c r="H18" s="42">
        <f t="shared" si="0"/>
        <v>0</v>
      </c>
    </row>
    <row r="19" spans="1:8" s="39" customFormat="1" x14ac:dyDescent="0.25">
      <c r="A19" s="41" t="s">
        <v>24</v>
      </c>
      <c r="B19" s="17" t="s">
        <v>25</v>
      </c>
      <c r="C19" s="28" t="s">
        <v>115</v>
      </c>
      <c r="D19" s="20">
        <v>3335000</v>
      </c>
      <c r="E19" s="19">
        <f t="shared" si="1"/>
        <v>3335000</v>
      </c>
      <c r="F19" s="20">
        <f>833750+1492000+1009250</f>
        <v>3335000</v>
      </c>
      <c r="G19" s="2">
        <f t="shared" si="2"/>
        <v>100</v>
      </c>
      <c r="H19" s="42">
        <f t="shared" si="0"/>
        <v>0</v>
      </c>
    </row>
    <row r="20" spans="1:8" s="39" customFormat="1" x14ac:dyDescent="0.25">
      <c r="A20" s="41" t="s">
        <v>26</v>
      </c>
      <c r="B20" s="17" t="s">
        <v>27</v>
      </c>
      <c r="C20" s="28" t="s">
        <v>115</v>
      </c>
      <c r="D20" s="20">
        <f>3617000+500000+755836</f>
        <v>4872836</v>
      </c>
      <c r="E20" s="19">
        <f t="shared" si="1"/>
        <v>4872836</v>
      </c>
      <c r="F20" s="20">
        <f>300000+300000+500000+500000+500000+500000+500000+500000+500000+772836</f>
        <v>4872836</v>
      </c>
      <c r="G20" s="2">
        <f t="shared" si="2"/>
        <v>100</v>
      </c>
      <c r="H20" s="42">
        <f t="shared" si="0"/>
        <v>0</v>
      </c>
    </row>
    <row r="21" spans="1:8" s="39" customFormat="1" x14ac:dyDescent="0.25">
      <c r="A21" s="41" t="s">
        <v>28</v>
      </c>
      <c r="B21" s="17" t="s">
        <v>29</v>
      </c>
      <c r="C21" s="28" t="s">
        <v>115</v>
      </c>
      <c r="D21" s="20">
        <f>6078000+500000+641135</f>
        <v>7219135</v>
      </c>
      <c r="E21" s="19">
        <f t="shared" si="1"/>
        <v>7219135</v>
      </c>
      <c r="F21" s="20">
        <f>500000+500000+600000+600000+600000+600000+600000+600000+600000+500000+278000+600000+641135</f>
        <v>7219135</v>
      </c>
      <c r="G21" s="2">
        <f t="shared" si="2"/>
        <v>100</v>
      </c>
      <c r="H21" s="42">
        <f t="shared" si="0"/>
        <v>0</v>
      </c>
    </row>
    <row r="22" spans="1:8" s="39" customFormat="1" x14ac:dyDescent="0.25">
      <c r="A22" s="41" t="s">
        <v>30</v>
      </c>
      <c r="B22" s="17" t="s">
        <v>31</v>
      </c>
      <c r="C22" s="28" t="s">
        <v>115</v>
      </c>
      <c r="D22" s="20">
        <v>5611000</v>
      </c>
      <c r="E22" s="19">
        <f t="shared" si="1"/>
        <v>5611000</v>
      </c>
      <c r="F22" s="20">
        <f>1402750+450000+450000+450000+500000+500000+500000+500000+858250</f>
        <v>5611000</v>
      </c>
      <c r="G22" s="2">
        <f t="shared" si="2"/>
        <v>100</v>
      </c>
      <c r="H22" s="42">
        <f t="shared" si="0"/>
        <v>0</v>
      </c>
    </row>
    <row r="23" spans="1:8" s="39" customFormat="1" x14ac:dyDescent="0.25">
      <c r="A23" s="41" t="s">
        <v>32</v>
      </c>
      <c r="B23" s="17" t="s">
        <v>33</v>
      </c>
      <c r="C23" s="28" t="s">
        <v>115</v>
      </c>
      <c r="D23" s="20">
        <v>1439000</v>
      </c>
      <c r="E23" s="19">
        <f t="shared" si="1"/>
        <v>1439000</v>
      </c>
      <c r="F23" s="20">
        <f>359750+1079250</f>
        <v>1439000</v>
      </c>
      <c r="G23" s="2">
        <f t="shared" si="2"/>
        <v>100</v>
      </c>
      <c r="H23" s="42">
        <f t="shared" si="0"/>
        <v>0</v>
      </c>
    </row>
    <row r="24" spans="1:8" s="39" customFormat="1" hidden="1" x14ac:dyDescent="0.25">
      <c r="A24" s="41" t="s">
        <v>76</v>
      </c>
      <c r="B24" s="17" t="s">
        <v>34</v>
      </c>
      <c r="C24" s="43"/>
      <c r="D24" s="1">
        <v>0</v>
      </c>
      <c r="E24" s="19">
        <f>D24/12*11</f>
        <v>0</v>
      </c>
      <c r="F24" s="1"/>
      <c r="G24" s="2" t="e">
        <f t="shared" ref="G24:G25" si="3">ROUND(F24/D24*100,2)</f>
        <v>#DIV/0!</v>
      </c>
      <c r="H24" s="42">
        <f t="shared" si="0"/>
        <v>0</v>
      </c>
    </row>
    <row r="25" spans="1:8" s="13" customFormat="1" x14ac:dyDescent="0.25">
      <c r="A25" s="44"/>
      <c r="B25" s="21" t="s">
        <v>35</v>
      </c>
      <c r="C25" s="28" t="s">
        <v>116</v>
      </c>
      <c r="D25" s="22">
        <f>SUM(D9:D24)</f>
        <v>78880987</v>
      </c>
      <c r="E25" s="19">
        <f>D25/12*12</f>
        <v>78880987</v>
      </c>
      <c r="F25" s="22">
        <f>SUM(F9:F24)</f>
        <v>78880987</v>
      </c>
      <c r="G25" s="3">
        <f t="shared" si="3"/>
        <v>100</v>
      </c>
      <c r="H25" s="45">
        <f>SUM(H9:H24)</f>
        <v>0</v>
      </c>
    </row>
    <row r="26" spans="1:8" s="39" customFormat="1" ht="34.5" hidden="1" customHeight="1" x14ac:dyDescent="0.25">
      <c r="A26" s="41"/>
      <c r="B26" s="65" t="s">
        <v>77</v>
      </c>
      <c r="C26" s="88"/>
      <c r="D26" s="88"/>
      <c r="E26" s="88"/>
      <c r="F26" s="88"/>
      <c r="G26" s="88"/>
      <c r="H26" s="89"/>
    </row>
    <row r="27" spans="1:8" s="39" customFormat="1" hidden="1" x14ac:dyDescent="0.25">
      <c r="A27" s="41" t="s">
        <v>4</v>
      </c>
      <c r="B27" s="17" t="s">
        <v>5</v>
      </c>
      <c r="C27" s="28" t="s">
        <v>117</v>
      </c>
      <c r="D27" s="1">
        <f>9423-9423</f>
        <v>0</v>
      </c>
      <c r="E27" s="1"/>
      <c r="F27" s="1"/>
      <c r="G27" s="2" t="e">
        <f t="shared" ref="G27:G42" si="4">ROUND(F27/D27*100,2)</f>
        <v>#DIV/0!</v>
      </c>
      <c r="H27" s="42">
        <f t="shared" ref="H27:H41" si="5">D27-F27</f>
        <v>0</v>
      </c>
    </row>
    <row r="28" spans="1:8" s="39" customFormat="1" hidden="1" x14ac:dyDescent="0.25">
      <c r="A28" s="41" t="s">
        <v>6</v>
      </c>
      <c r="B28" s="17" t="s">
        <v>7</v>
      </c>
      <c r="C28" s="28" t="s">
        <v>117</v>
      </c>
      <c r="D28" s="1">
        <f>10287-10287</f>
        <v>0</v>
      </c>
      <c r="E28" s="1"/>
      <c r="F28" s="1"/>
      <c r="G28" s="2" t="e">
        <f t="shared" si="4"/>
        <v>#DIV/0!</v>
      </c>
      <c r="H28" s="42">
        <f t="shared" si="5"/>
        <v>0</v>
      </c>
    </row>
    <row r="29" spans="1:8" s="39" customFormat="1" hidden="1" x14ac:dyDescent="0.25">
      <c r="A29" s="41" t="s">
        <v>8</v>
      </c>
      <c r="B29" s="17" t="s">
        <v>9</v>
      </c>
      <c r="C29" s="28" t="s">
        <v>117</v>
      </c>
      <c r="D29" s="1">
        <f>13284-13284</f>
        <v>0</v>
      </c>
      <c r="E29" s="1"/>
      <c r="F29" s="1"/>
      <c r="G29" s="2" t="e">
        <f t="shared" si="4"/>
        <v>#DIV/0!</v>
      </c>
      <c r="H29" s="42">
        <f t="shared" si="5"/>
        <v>0</v>
      </c>
    </row>
    <row r="30" spans="1:8" s="39" customFormat="1" hidden="1" x14ac:dyDescent="0.25">
      <c r="A30" s="41" t="s">
        <v>10</v>
      </c>
      <c r="B30" s="17" t="s">
        <v>11</v>
      </c>
      <c r="C30" s="28" t="s">
        <v>118</v>
      </c>
      <c r="D30" s="1">
        <f>4617-4617</f>
        <v>0</v>
      </c>
      <c r="E30" s="1"/>
      <c r="F30" s="1"/>
      <c r="G30" s="2" t="e">
        <f t="shared" si="4"/>
        <v>#DIV/0!</v>
      </c>
      <c r="H30" s="42">
        <f t="shared" si="5"/>
        <v>0</v>
      </c>
    </row>
    <row r="31" spans="1:8" s="39" customFormat="1" hidden="1" x14ac:dyDescent="0.25">
      <c r="A31" s="41" t="s">
        <v>12</v>
      </c>
      <c r="B31" s="17" t="s">
        <v>13</v>
      </c>
      <c r="C31" s="28" t="s">
        <v>118</v>
      </c>
      <c r="D31" s="1">
        <f>4347-4347</f>
        <v>0</v>
      </c>
      <c r="E31" s="1"/>
      <c r="F31" s="1"/>
      <c r="G31" s="2" t="e">
        <f t="shared" si="4"/>
        <v>#DIV/0!</v>
      </c>
      <c r="H31" s="42">
        <f t="shared" si="5"/>
        <v>0</v>
      </c>
    </row>
    <row r="32" spans="1:8" s="39" customFormat="1" hidden="1" x14ac:dyDescent="0.25">
      <c r="A32" s="41" t="s">
        <v>14</v>
      </c>
      <c r="B32" s="17" t="s">
        <v>15</v>
      </c>
      <c r="C32" s="28" t="s">
        <v>118</v>
      </c>
      <c r="D32" s="1">
        <f>6480-6480</f>
        <v>0</v>
      </c>
      <c r="E32" s="1"/>
      <c r="F32" s="1"/>
      <c r="G32" s="2" t="e">
        <f t="shared" si="4"/>
        <v>#DIV/0!</v>
      </c>
      <c r="H32" s="42">
        <f t="shared" si="5"/>
        <v>0</v>
      </c>
    </row>
    <row r="33" spans="1:8" s="39" customFormat="1" hidden="1" x14ac:dyDescent="0.25">
      <c r="A33" s="41" t="s">
        <v>16</v>
      </c>
      <c r="B33" s="17" t="s">
        <v>17</v>
      </c>
      <c r="C33" s="28" t="s">
        <v>118</v>
      </c>
      <c r="D33" s="1">
        <f>4617-4617</f>
        <v>0</v>
      </c>
      <c r="E33" s="1"/>
      <c r="F33" s="1"/>
      <c r="G33" s="2" t="e">
        <f t="shared" si="4"/>
        <v>#DIV/0!</v>
      </c>
      <c r="H33" s="42">
        <f t="shared" si="5"/>
        <v>0</v>
      </c>
    </row>
    <row r="34" spans="1:8" s="39" customFormat="1" hidden="1" x14ac:dyDescent="0.25">
      <c r="A34" s="41" t="s">
        <v>18</v>
      </c>
      <c r="B34" s="17" t="s">
        <v>19</v>
      </c>
      <c r="C34" s="28" t="s">
        <v>118</v>
      </c>
      <c r="D34" s="1">
        <f>4617-4617</f>
        <v>0</v>
      </c>
      <c r="E34" s="1"/>
      <c r="F34" s="1"/>
      <c r="G34" s="2" t="e">
        <f t="shared" si="4"/>
        <v>#DIV/0!</v>
      </c>
      <c r="H34" s="42">
        <f t="shared" si="5"/>
        <v>0</v>
      </c>
    </row>
    <row r="35" spans="1:8" s="39" customFormat="1" hidden="1" x14ac:dyDescent="0.25">
      <c r="A35" s="41" t="s">
        <v>20</v>
      </c>
      <c r="B35" s="17" t="s">
        <v>21</v>
      </c>
      <c r="C35" s="28" t="s">
        <v>118</v>
      </c>
      <c r="D35" s="1">
        <f>4185-4185</f>
        <v>0</v>
      </c>
      <c r="E35" s="1"/>
      <c r="F35" s="1"/>
      <c r="G35" s="2" t="e">
        <f t="shared" si="4"/>
        <v>#DIV/0!</v>
      </c>
      <c r="H35" s="42">
        <f t="shared" si="5"/>
        <v>0</v>
      </c>
    </row>
    <row r="36" spans="1:8" s="39" customFormat="1" hidden="1" x14ac:dyDescent="0.25">
      <c r="A36" s="41" t="s">
        <v>22</v>
      </c>
      <c r="B36" s="17" t="s">
        <v>23</v>
      </c>
      <c r="C36" s="28" t="s">
        <v>118</v>
      </c>
      <c r="D36" s="1">
        <f>4185-4185</f>
        <v>0</v>
      </c>
      <c r="E36" s="1"/>
      <c r="F36" s="1"/>
      <c r="G36" s="2" t="e">
        <f t="shared" si="4"/>
        <v>#DIV/0!</v>
      </c>
      <c r="H36" s="42">
        <f t="shared" si="5"/>
        <v>0</v>
      </c>
    </row>
    <row r="37" spans="1:8" s="39" customFormat="1" hidden="1" x14ac:dyDescent="0.25">
      <c r="A37" s="41" t="s">
        <v>24</v>
      </c>
      <c r="B37" s="17" t="s">
        <v>25</v>
      </c>
      <c r="C37" s="28" t="s">
        <v>118</v>
      </c>
      <c r="D37" s="1">
        <f>4185-4185</f>
        <v>0</v>
      </c>
      <c r="E37" s="1"/>
      <c r="F37" s="1"/>
      <c r="G37" s="2" t="e">
        <f t="shared" si="4"/>
        <v>#DIV/0!</v>
      </c>
      <c r="H37" s="42">
        <f t="shared" si="5"/>
        <v>0</v>
      </c>
    </row>
    <row r="38" spans="1:8" s="39" customFormat="1" hidden="1" x14ac:dyDescent="0.25">
      <c r="A38" s="41" t="s">
        <v>26</v>
      </c>
      <c r="B38" s="17" t="s">
        <v>27</v>
      </c>
      <c r="C38" s="28" t="s">
        <v>118</v>
      </c>
      <c r="D38" s="1">
        <f>3375-3375</f>
        <v>0</v>
      </c>
      <c r="E38" s="1"/>
      <c r="F38" s="1"/>
      <c r="G38" s="2" t="e">
        <f t="shared" si="4"/>
        <v>#DIV/0!</v>
      </c>
      <c r="H38" s="42">
        <f t="shared" si="5"/>
        <v>0</v>
      </c>
    </row>
    <row r="39" spans="1:8" s="39" customFormat="1" hidden="1" x14ac:dyDescent="0.25">
      <c r="A39" s="41" t="s">
        <v>28</v>
      </c>
      <c r="B39" s="17" t="s">
        <v>29</v>
      </c>
      <c r="C39" s="28" t="s">
        <v>118</v>
      </c>
      <c r="D39" s="1">
        <f>3375-3375</f>
        <v>0</v>
      </c>
      <c r="E39" s="1"/>
      <c r="F39" s="1"/>
      <c r="G39" s="2" t="e">
        <f t="shared" si="4"/>
        <v>#DIV/0!</v>
      </c>
      <c r="H39" s="42">
        <f t="shared" si="5"/>
        <v>0</v>
      </c>
    </row>
    <row r="40" spans="1:8" s="39" customFormat="1" hidden="1" x14ac:dyDescent="0.25">
      <c r="A40" s="41" t="s">
        <v>30</v>
      </c>
      <c r="B40" s="17" t="s">
        <v>31</v>
      </c>
      <c r="C40" s="28" t="s">
        <v>118</v>
      </c>
      <c r="D40" s="1">
        <f>3456-3456</f>
        <v>0</v>
      </c>
      <c r="E40" s="1"/>
      <c r="F40" s="1"/>
      <c r="G40" s="2" t="e">
        <f t="shared" si="4"/>
        <v>#DIV/0!</v>
      </c>
      <c r="H40" s="42">
        <f t="shared" si="5"/>
        <v>0</v>
      </c>
    </row>
    <row r="41" spans="1:8" s="39" customFormat="1" hidden="1" x14ac:dyDescent="0.25">
      <c r="A41" s="41" t="s">
        <v>32</v>
      </c>
      <c r="B41" s="17" t="s">
        <v>33</v>
      </c>
      <c r="C41" s="28" t="s">
        <v>118</v>
      </c>
      <c r="D41" s="1">
        <f>3996-3996</f>
        <v>0</v>
      </c>
      <c r="E41" s="1"/>
      <c r="F41" s="1"/>
      <c r="G41" s="2" t="e">
        <f t="shared" si="4"/>
        <v>#DIV/0!</v>
      </c>
      <c r="H41" s="42">
        <f t="shared" si="5"/>
        <v>0</v>
      </c>
    </row>
    <row r="42" spans="1:8" s="39" customFormat="1" hidden="1" x14ac:dyDescent="0.25">
      <c r="A42" s="41"/>
      <c r="B42" s="21" t="s">
        <v>35</v>
      </c>
      <c r="C42" s="28" t="s">
        <v>119</v>
      </c>
      <c r="D42" s="22">
        <f>SUM(D27:D41)</f>
        <v>0</v>
      </c>
      <c r="E42" s="22">
        <f>SUM(E27:E41)</f>
        <v>0</v>
      </c>
      <c r="F42" s="22">
        <f>SUM(F27:F41)</f>
        <v>0</v>
      </c>
      <c r="G42" s="3" t="e">
        <f t="shared" si="4"/>
        <v>#DIV/0!</v>
      </c>
      <c r="H42" s="45">
        <f>SUM(H27:H41)</f>
        <v>0</v>
      </c>
    </row>
    <row r="43" spans="1:8" s="39" customFormat="1" ht="99.75" customHeight="1" x14ac:dyDescent="0.25">
      <c r="A43" s="46"/>
      <c r="B43" s="76" t="s">
        <v>61</v>
      </c>
      <c r="C43" s="73"/>
      <c r="D43" s="73"/>
      <c r="E43" s="73"/>
      <c r="F43" s="73"/>
      <c r="G43" s="73"/>
      <c r="H43" s="74"/>
    </row>
    <row r="44" spans="1:8" s="39" customFormat="1" x14ac:dyDescent="0.25">
      <c r="A44" s="41" t="s">
        <v>4</v>
      </c>
      <c r="B44" s="23" t="s">
        <v>11</v>
      </c>
      <c r="C44" s="28" t="s">
        <v>37</v>
      </c>
      <c r="D44" s="24">
        <v>100000</v>
      </c>
      <c r="E44" s="24"/>
      <c r="F44" s="24">
        <f>59990+35000</f>
        <v>94990</v>
      </c>
      <c r="G44" s="2">
        <f t="shared" ref="G44:G56" si="6">ROUND(F44/D44*100,2)</f>
        <v>94.99</v>
      </c>
      <c r="H44" s="42">
        <f t="shared" ref="H44:H55" si="7">D44-F44</f>
        <v>5010</v>
      </c>
    </row>
    <row r="45" spans="1:8" s="39" customFormat="1" x14ac:dyDescent="0.25">
      <c r="A45" s="41" t="s">
        <v>6</v>
      </c>
      <c r="B45" s="23" t="s">
        <v>13</v>
      </c>
      <c r="C45" s="28" t="s">
        <v>37</v>
      </c>
      <c r="D45" s="24">
        <v>200000</v>
      </c>
      <c r="E45" s="24"/>
      <c r="F45" s="24">
        <f>200000</f>
        <v>200000</v>
      </c>
      <c r="G45" s="2">
        <f t="shared" si="6"/>
        <v>100</v>
      </c>
      <c r="H45" s="42">
        <f t="shared" si="7"/>
        <v>0</v>
      </c>
    </row>
    <row r="46" spans="1:8" s="39" customFormat="1" x14ac:dyDescent="0.25">
      <c r="A46" s="41" t="s">
        <v>8</v>
      </c>
      <c r="B46" s="23" t="s">
        <v>15</v>
      </c>
      <c r="C46" s="28" t="s">
        <v>37</v>
      </c>
      <c r="D46" s="24">
        <v>150000</v>
      </c>
      <c r="E46" s="24"/>
      <c r="F46" s="24">
        <f>51441.09+14983.41+70000</f>
        <v>136424.5</v>
      </c>
      <c r="G46" s="2">
        <f t="shared" si="6"/>
        <v>90.95</v>
      </c>
      <c r="H46" s="42">
        <f t="shared" si="7"/>
        <v>13575.5</v>
      </c>
    </row>
    <row r="47" spans="1:8" s="39" customFormat="1" x14ac:dyDescent="0.25">
      <c r="A47" s="41" t="s">
        <v>10</v>
      </c>
      <c r="B47" s="23" t="s">
        <v>17</v>
      </c>
      <c r="C47" s="28" t="s">
        <v>37</v>
      </c>
      <c r="D47" s="24">
        <v>1000</v>
      </c>
      <c r="E47" s="24"/>
      <c r="F47" s="24"/>
      <c r="G47" s="2">
        <f t="shared" si="6"/>
        <v>0</v>
      </c>
      <c r="H47" s="42">
        <f t="shared" si="7"/>
        <v>1000</v>
      </c>
    </row>
    <row r="48" spans="1:8" s="39" customFormat="1" x14ac:dyDescent="0.25">
      <c r="A48" s="41" t="s">
        <v>12</v>
      </c>
      <c r="B48" s="23" t="s">
        <v>19</v>
      </c>
      <c r="C48" s="28" t="s">
        <v>37</v>
      </c>
      <c r="D48" s="24">
        <v>100000</v>
      </c>
      <c r="E48" s="24"/>
      <c r="F48" s="24">
        <v>95000</v>
      </c>
      <c r="G48" s="2">
        <f t="shared" si="6"/>
        <v>95</v>
      </c>
      <c r="H48" s="42">
        <f t="shared" si="7"/>
        <v>5000</v>
      </c>
    </row>
    <row r="49" spans="1:8" s="39" customFormat="1" hidden="1" x14ac:dyDescent="0.25">
      <c r="A49" s="41" t="s">
        <v>14</v>
      </c>
      <c r="B49" s="25" t="s">
        <v>21</v>
      </c>
      <c r="C49" s="28" t="s">
        <v>37</v>
      </c>
      <c r="D49" s="24">
        <f>1000-1000</f>
        <v>0</v>
      </c>
      <c r="E49" s="24"/>
      <c r="F49" s="24"/>
      <c r="G49" s="2" t="e">
        <f>ROUND(F49/D49*100,2)</f>
        <v>#DIV/0!</v>
      </c>
      <c r="H49" s="42">
        <f t="shared" si="7"/>
        <v>0</v>
      </c>
    </row>
    <row r="50" spans="1:8" s="39" customFormat="1" x14ac:dyDescent="0.25">
      <c r="A50" s="41" t="s">
        <v>14</v>
      </c>
      <c r="B50" s="23" t="s">
        <v>23</v>
      </c>
      <c r="C50" s="28" t="s">
        <v>37</v>
      </c>
      <c r="D50" s="24">
        <v>700000</v>
      </c>
      <c r="E50" s="24"/>
      <c r="F50" s="24">
        <f>25000+198000+238890+89000+149110</f>
        <v>700000</v>
      </c>
      <c r="G50" s="2">
        <f t="shared" si="6"/>
        <v>100</v>
      </c>
      <c r="H50" s="42">
        <f t="shared" si="7"/>
        <v>0</v>
      </c>
    </row>
    <row r="51" spans="1:8" s="39" customFormat="1" x14ac:dyDescent="0.25">
      <c r="A51" s="41" t="s">
        <v>16</v>
      </c>
      <c r="B51" s="23" t="s">
        <v>25</v>
      </c>
      <c r="C51" s="28" t="s">
        <v>37</v>
      </c>
      <c r="D51" s="24">
        <v>1000</v>
      </c>
      <c r="E51" s="24"/>
      <c r="F51" s="24"/>
      <c r="G51" s="2">
        <f t="shared" si="6"/>
        <v>0</v>
      </c>
      <c r="H51" s="42">
        <f t="shared" si="7"/>
        <v>1000</v>
      </c>
    </row>
    <row r="52" spans="1:8" s="39" customFormat="1" x14ac:dyDescent="0.25">
      <c r="A52" s="41" t="s">
        <v>18</v>
      </c>
      <c r="B52" s="23" t="s">
        <v>27</v>
      </c>
      <c r="C52" s="28" t="s">
        <v>37</v>
      </c>
      <c r="D52" s="24">
        <v>4000</v>
      </c>
      <c r="E52" s="24"/>
      <c r="F52" s="24"/>
      <c r="G52" s="2">
        <f t="shared" si="6"/>
        <v>0</v>
      </c>
      <c r="H52" s="42">
        <f t="shared" si="7"/>
        <v>4000</v>
      </c>
    </row>
    <row r="53" spans="1:8" s="39" customFormat="1" x14ac:dyDescent="0.25">
      <c r="A53" s="41" t="s">
        <v>20</v>
      </c>
      <c r="B53" s="23" t="s">
        <v>29</v>
      </c>
      <c r="C53" s="28" t="s">
        <v>37</v>
      </c>
      <c r="D53" s="24">
        <v>200000</v>
      </c>
      <c r="E53" s="24"/>
      <c r="F53" s="24">
        <f>14240+12600+83000+57260+32900</f>
        <v>200000</v>
      </c>
      <c r="G53" s="2">
        <f t="shared" si="6"/>
        <v>100</v>
      </c>
      <c r="H53" s="42">
        <f t="shared" si="7"/>
        <v>0</v>
      </c>
    </row>
    <row r="54" spans="1:8" s="39" customFormat="1" x14ac:dyDescent="0.25">
      <c r="A54" s="41" t="s">
        <v>22</v>
      </c>
      <c r="B54" s="23" t="s">
        <v>31</v>
      </c>
      <c r="C54" s="28" t="s">
        <v>37</v>
      </c>
      <c r="D54" s="24">
        <v>1000</v>
      </c>
      <c r="E54" s="24"/>
      <c r="F54" s="24"/>
      <c r="G54" s="2">
        <f t="shared" si="6"/>
        <v>0</v>
      </c>
      <c r="H54" s="42">
        <f t="shared" si="7"/>
        <v>1000</v>
      </c>
    </row>
    <row r="55" spans="1:8" s="39" customFormat="1" hidden="1" x14ac:dyDescent="0.25">
      <c r="A55" s="41" t="s">
        <v>26</v>
      </c>
      <c r="B55" s="23" t="s">
        <v>33</v>
      </c>
      <c r="C55" s="28" t="s">
        <v>37</v>
      </c>
      <c r="D55" s="24">
        <f>100000-100000</f>
        <v>0</v>
      </c>
      <c r="E55" s="24"/>
      <c r="F55" s="24"/>
      <c r="G55" s="2" t="e">
        <f t="shared" si="6"/>
        <v>#DIV/0!</v>
      </c>
      <c r="H55" s="42">
        <f t="shared" si="7"/>
        <v>0</v>
      </c>
    </row>
    <row r="56" spans="1:8" s="39" customFormat="1" x14ac:dyDescent="0.25">
      <c r="A56" s="44"/>
      <c r="B56" s="21" t="s">
        <v>35</v>
      </c>
      <c r="C56" s="28" t="s">
        <v>120</v>
      </c>
      <c r="D56" s="22">
        <f>SUM(D44:D55)</f>
        <v>1457000</v>
      </c>
      <c r="E56" s="22">
        <f>SUM(E44:E55)</f>
        <v>0</v>
      </c>
      <c r="F56" s="22">
        <f>SUM(F44:F55)</f>
        <v>1426414.5</v>
      </c>
      <c r="G56" s="3">
        <f t="shared" si="6"/>
        <v>97.9</v>
      </c>
      <c r="H56" s="45">
        <f>SUM(H44:H55)</f>
        <v>30585.5</v>
      </c>
    </row>
    <row r="57" spans="1:8" s="39" customFormat="1" ht="63" customHeight="1" x14ac:dyDescent="0.25">
      <c r="A57" s="46"/>
      <c r="B57" s="76" t="s">
        <v>62</v>
      </c>
      <c r="C57" s="73"/>
      <c r="D57" s="73"/>
      <c r="E57" s="73"/>
      <c r="F57" s="73"/>
      <c r="G57" s="73"/>
      <c r="H57" s="74"/>
    </row>
    <row r="58" spans="1:8" s="39" customFormat="1" x14ac:dyDescent="0.25">
      <c r="A58" s="41" t="s">
        <v>4</v>
      </c>
      <c r="B58" s="17" t="s">
        <v>11</v>
      </c>
      <c r="C58" s="28" t="s">
        <v>38</v>
      </c>
      <c r="D58" s="1">
        <v>460000</v>
      </c>
      <c r="E58" s="1"/>
      <c r="F58" s="1">
        <f>100000+100000+100000+50000+50000+60000</f>
        <v>460000</v>
      </c>
      <c r="G58" s="2">
        <f t="shared" ref="G58:G70" si="8">ROUND(F58/D58*100,2)</f>
        <v>100</v>
      </c>
      <c r="H58" s="42">
        <f t="shared" ref="H58:H69" si="9">D58-F58</f>
        <v>0</v>
      </c>
    </row>
    <row r="59" spans="1:8" s="39" customFormat="1" x14ac:dyDescent="0.25">
      <c r="A59" s="41" t="s">
        <v>6</v>
      </c>
      <c r="B59" s="17" t="s">
        <v>13</v>
      </c>
      <c r="C59" s="28" t="s">
        <v>38</v>
      </c>
      <c r="D59" s="1">
        <v>200000</v>
      </c>
      <c r="E59" s="1"/>
      <c r="F59" s="1">
        <f>48941.28+100000+35000+15428.73</f>
        <v>199370.01</v>
      </c>
      <c r="G59" s="2">
        <f t="shared" si="8"/>
        <v>99.69</v>
      </c>
      <c r="H59" s="42">
        <f t="shared" si="9"/>
        <v>629.98999999999069</v>
      </c>
    </row>
    <row r="60" spans="1:8" s="39" customFormat="1" x14ac:dyDescent="0.25">
      <c r="A60" s="41" t="s">
        <v>8</v>
      </c>
      <c r="B60" s="17" t="s">
        <v>15</v>
      </c>
      <c r="C60" s="28" t="s">
        <v>38</v>
      </c>
      <c r="D60" s="1">
        <v>1000000</v>
      </c>
      <c r="E60" s="1"/>
      <c r="F60" s="1">
        <f>200000+100000+150000+50000+150000+100000+100000+150000</f>
        <v>1000000</v>
      </c>
      <c r="G60" s="2">
        <f t="shared" si="8"/>
        <v>100</v>
      </c>
      <c r="H60" s="42">
        <f t="shared" si="9"/>
        <v>0</v>
      </c>
    </row>
    <row r="61" spans="1:8" s="39" customFormat="1" x14ac:dyDescent="0.25">
      <c r="A61" s="41" t="s">
        <v>10</v>
      </c>
      <c r="B61" s="17" t="s">
        <v>17</v>
      </c>
      <c r="C61" s="28" t="s">
        <v>38</v>
      </c>
      <c r="D61" s="1">
        <v>1000</v>
      </c>
      <c r="E61" s="1"/>
      <c r="F61" s="1"/>
      <c r="G61" s="2">
        <f t="shared" si="8"/>
        <v>0</v>
      </c>
      <c r="H61" s="42">
        <f t="shared" si="9"/>
        <v>1000</v>
      </c>
    </row>
    <row r="62" spans="1:8" s="39" customFormat="1" x14ac:dyDescent="0.25">
      <c r="A62" s="41" t="s">
        <v>12</v>
      </c>
      <c r="B62" s="17" t="s">
        <v>19</v>
      </c>
      <c r="C62" s="28" t="s">
        <v>38</v>
      </c>
      <c r="D62" s="1">
        <v>800000</v>
      </c>
      <c r="E62" s="1"/>
      <c r="F62" s="1">
        <f>150000+48000+200000+166100+158224.39+15000+62675.61</f>
        <v>800000</v>
      </c>
      <c r="G62" s="2">
        <f t="shared" si="8"/>
        <v>100</v>
      </c>
      <c r="H62" s="42">
        <f t="shared" si="9"/>
        <v>0</v>
      </c>
    </row>
    <row r="63" spans="1:8" s="39" customFormat="1" x14ac:dyDescent="0.25">
      <c r="A63" s="41" t="s">
        <v>14</v>
      </c>
      <c r="B63" s="26" t="s">
        <v>21</v>
      </c>
      <c r="C63" s="28" t="s">
        <v>38</v>
      </c>
      <c r="D63" s="1">
        <f>300000-1513</f>
        <v>298487</v>
      </c>
      <c r="E63" s="1"/>
      <c r="F63" s="1">
        <f>99802+99500+99185</f>
        <v>298487</v>
      </c>
      <c r="G63" s="2">
        <f t="shared" si="8"/>
        <v>100</v>
      </c>
      <c r="H63" s="42">
        <f t="shared" si="9"/>
        <v>0</v>
      </c>
    </row>
    <row r="64" spans="1:8" s="39" customFormat="1" x14ac:dyDescent="0.25">
      <c r="A64" s="41" t="s">
        <v>16</v>
      </c>
      <c r="B64" s="17" t="s">
        <v>23</v>
      </c>
      <c r="C64" s="28" t="s">
        <v>38</v>
      </c>
      <c r="D64" s="1">
        <v>900000</v>
      </c>
      <c r="E64" s="1"/>
      <c r="F64" s="1">
        <f>70000+50000+50000+35000+15000+250000+250000+180000</f>
        <v>900000</v>
      </c>
      <c r="G64" s="2">
        <f t="shared" si="8"/>
        <v>100</v>
      </c>
      <c r="H64" s="42">
        <f t="shared" si="9"/>
        <v>0</v>
      </c>
    </row>
    <row r="65" spans="1:8" s="39" customFormat="1" x14ac:dyDescent="0.25">
      <c r="A65" s="41" t="s">
        <v>18</v>
      </c>
      <c r="B65" s="17" t="s">
        <v>25</v>
      </c>
      <c r="C65" s="28" t="s">
        <v>38</v>
      </c>
      <c r="D65" s="1">
        <v>300000</v>
      </c>
      <c r="E65" s="1"/>
      <c r="F65" s="1">
        <f>140000+149500+10500</f>
        <v>300000</v>
      </c>
      <c r="G65" s="2">
        <f t="shared" si="8"/>
        <v>100</v>
      </c>
      <c r="H65" s="42">
        <f t="shared" si="9"/>
        <v>0</v>
      </c>
    </row>
    <row r="66" spans="1:8" s="39" customFormat="1" x14ac:dyDescent="0.25">
      <c r="A66" s="41" t="s">
        <v>20</v>
      </c>
      <c r="B66" s="17" t="s">
        <v>27</v>
      </c>
      <c r="C66" s="28" t="s">
        <v>38</v>
      </c>
      <c r="D66" s="1">
        <v>690000</v>
      </c>
      <c r="E66" s="1"/>
      <c r="F66" s="1">
        <f>24987+24987+111279.77+328768.8+24987+51070+48440+24987+50493.43</f>
        <v>690000.00000000012</v>
      </c>
      <c r="G66" s="2">
        <f t="shared" si="8"/>
        <v>100</v>
      </c>
      <c r="H66" s="42">
        <f t="shared" si="9"/>
        <v>0</v>
      </c>
    </row>
    <row r="67" spans="1:8" s="39" customFormat="1" x14ac:dyDescent="0.25">
      <c r="A67" s="41" t="s">
        <v>22</v>
      </c>
      <c r="B67" s="17" t="s">
        <v>29</v>
      </c>
      <c r="C67" s="28" t="s">
        <v>38</v>
      </c>
      <c r="D67" s="1">
        <v>800000</v>
      </c>
      <c r="E67" s="1"/>
      <c r="F67" s="1">
        <f>100000+100000+50000+100000+48200+135000+50000+84195.99+70000+39719.91+15456.91</f>
        <v>792572.81</v>
      </c>
      <c r="G67" s="2">
        <f t="shared" si="8"/>
        <v>99.07</v>
      </c>
      <c r="H67" s="42">
        <f t="shared" si="9"/>
        <v>7427.1899999999441</v>
      </c>
    </row>
    <row r="68" spans="1:8" s="39" customFormat="1" x14ac:dyDescent="0.25">
      <c r="A68" s="41" t="s">
        <v>24</v>
      </c>
      <c r="B68" s="17" t="s">
        <v>31</v>
      </c>
      <c r="C68" s="28" t="s">
        <v>38</v>
      </c>
      <c r="D68" s="1">
        <v>250000</v>
      </c>
      <c r="E68" s="1"/>
      <c r="F68" s="1">
        <f>59904+66300+20000+59904+43887</f>
        <v>249995</v>
      </c>
      <c r="G68" s="2">
        <f t="shared" si="8"/>
        <v>100</v>
      </c>
      <c r="H68" s="42">
        <f t="shared" si="9"/>
        <v>5</v>
      </c>
    </row>
    <row r="69" spans="1:8" s="39" customFormat="1" x14ac:dyDescent="0.25">
      <c r="A69" s="41" t="s">
        <v>26</v>
      </c>
      <c r="B69" s="17" t="s">
        <v>33</v>
      </c>
      <c r="C69" s="28" t="s">
        <v>38</v>
      </c>
      <c r="D69" s="1">
        <v>500000</v>
      </c>
      <c r="E69" s="1"/>
      <c r="F69" s="1">
        <f>76500+51000+18278.82+25000+74000+22730+25000+164080+22720</f>
        <v>479308.82</v>
      </c>
      <c r="G69" s="2">
        <f t="shared" si="8"/>
        <v>95.86</v>
      </c>
      <c r="H69" s="42">
        <f t="shared" si="9"/>
        <v>20691.179999999993</v>
      </c>
    </row>
    <row r="70" spans="1:8" s="39" customFormat="1" x14ac:dyDescent="0.25">
      <c r="A70" s="44"/>
      <c r="B70" s="21" t="s">
        <v>35</v>
      </c>
      <c r="C70" s="28" t="s">
        <v>121</v>
      </c>
      <c r="D70" s="22">
        <f>SUM(D58:D69)</f>
        <v>6199487</v>
      </c>
      <c r="E70" s="22">
        <f>SUM(E58:E69)</f>
        <v>0</v>
      </c>
      <c r="F70" s="22">
        <f>SUM(F58:F69)</f>
        <v>6169733.6400000006</v>
      </c>
      <c r="G70" s="3">
        <f t="shared" si="8"/>
        <v>99.52</v>
      </c>
      <c r="H70" s="45">
        <f>SUM(H58:H69)</f>
        <v>29753.359999999928</v>
      </c>
    </row>
    <row r="71" spans="1:8" s="39" customFormat="1" ht="51" customHeight="1" x14ac:dyDescent="0.25">
      <c r="A71" s="46"/>
      <c r="B71" s="76" t="s">
        <v>63</v>
      </c>
      <c r="C71" s="73"/>
      <c r="D71" s="73"/>
      <c r="E71" s="73"/>
      <c r="F71" s="73"/>
      <c r="G71" s="73"/>
      <c r="H71" s="74"/>
    </row>
    <row r="72" spans="1:8" s="39" customFormat="1" x14ac:dyDescent="0.25">
      <c r="A72" s="41" t="s">
        <v>4</v>
      </c>
      <c r="B72" s="17" t="s">
        <v>5</v>
      </c>
      <c r="C72" s="47" t="s">
        <v>39</v>
      </c>
      <c r="D72" s="24">
        <f>780000+600000</f>
        <v>1380000</v>
      </c>
      <c r="E72" s="24"/>
      <c r="F72" s="24">
        <f>95000+685000+600000</f>
        <v>1380000</v>
      </c>
      <c r="G72" s="2">
        <f>ROUND(F72/D72*100,2)</f>
        <v>100</v>
      </c>
      <c r="H72" s="42">
        <f>D72-F72</f>
        <v>0</v>
      </c>
    </row>
    <row r="73" spans="1:8" s="39" customFormat="1" x14ac:dyDescent="0.25">
      <c r="A73" s="44"/>
      <c r="B73" s="21" t="s">
        <v>35</v>
      </c>
      <c r="C73" s="47" t="s">
        <v>122</v>
      </c>
      <c r="D73" s="22">
        <f>SUM(D72:D72)</f>
        <v>1380000</v>
      </c>
      <c r="E73" s="22">
        <f>SUM(E72:E72)</f>
        <v>0</v>
      </c>
      <c r="F73" s="22">
        <f>SUM(F72:F72)</f>
        <v>1380000</v>
      </c>
      <c r="G73" s="3">
        <f>ROUND(F73/D73*100,2)</f>
        <v>100</v>
      </c>
      <c r="H73" s="45">
        <f>SUM(H72:H72)</f>
        <v>0</v>
      </c>
    </row>
    <row r="74" spans="1:8" s="39" customFormat="1" ht="80.25" customHeight="1" x14ac:dyDescent="0.25">
      <c r="A74" s="46"/>
      <c r="B74" s="76" t="s">
        <v>78</v>
      </c>
      <c r="C74" s="73"/>
      <c r="D74" s="73"/>
      <c r="E74" s="73"/>
      <c r="F74" s="73"/>
      <c r="G74" s="73"/>
      <c r="H74" s="74"/>
    </row>
    <row r="75" spans="1:8" s="39" customFormat="1" x14ac:dyDescent="0.25">
      <c r="A75" s="41" t="s">
        <v>4</v>
      </c>
      <c r="B75" s="17" t="s">
        <v>11</v>
      </c>
      <c r="C75" s="28" t="s">
        <v>40</v>
      </c>
      <c r="D75" s="1">
        <v>1000</v>
      </c>
      <c r="E75" s="1"/>
      <c r="F75" s="1"/>
      <c r="G75" s="2">
        <f t="shared" ref="G75:G87" si="10">ROUND(F75/D75*100,2)</f>
        <v>0</v>
      </c>
      <c r="H75" s="42">
        <f t="shared" ref="H75:H86" si="11">D75-F75</f>
        <v>1000</v>
      </c>
    </row>
    <row r="76" spans="1:8" s="39" customFormat="1" x14ac:dyDescent="0.25">
      <c r="A76" s="41" t="s">
        <v>6</v>
      </c>
      <c r="B76" s="17" t="s">
        <v>13</v>
      </c>
      <c r="C76" s="28" t="s">
        <v>40</v>
      </c>
      <c r="D76" s="1">
        <v>100000</v>
      </c>
      <c r="E76" s="1"/>
      <c r="F76" s="1">
        <f>100000</f>
        <v>100000</v>
      </c>
      <c r="G76" s="2">
        <f>ROUND(F76/D76*100,2)</f>
        <v>100</v>
      </c>
      <c r="H76" s="42">
        <f t="shared" si="11"/>
        <v>0</v>
      </c>
    </row>
    <row r="77" spans="1:8" s="39" customFormat="1" x14ac:dyDescent="0.25">
      <c r="A77" s="41" t="s">
        <v>8</v>
      </c>
      <c r="B77" s="17" t="s">
        <v>15</v>
      </c>
      <c r="C77" s="28" t="s">
        <v>40</v>
      </c>
      <c r="D77" s="1">
        <v>100000</v>
      </c>
      <c r="E77" s="1"/>
      <c r="F77" s="1">
        <f>100000</f>
        <v>100000</v>
      </c>
      <c r="G77" s="2">
        <f t="shared" si="10"/>
        <v>100</v>
      </c>
      <c r="H77" s="42">
        <f t="shared" si="11"/>
        <v>0</v>
      </c>
    </row>
    <row r="78" spans="1:8" s="39" customFormat="1" x14ac:dyDescent="0.25">
      <c r="A78" s="41" t="s">
        <v>10</v>
      </c>
      <c r="B78" s="17" t="s">
        <v>17</v>
      </c>
      <c r="C78" s="28" t="s">
        <v>40</v>
      </c>
      <c r="D78" s="1">
        <v>1000</v>
      </c>
      <c r="E78" s="1"/>
      <c r="F78" s="1"/>
      <c r="G78" s="2">
        <f t="shared" si="10"/>
        <v>0</v>
      </c>
      <c r="H78" s="42">
        <f t="shared" si="11"/>
        <v>1000</v>
      </c>
    </row>
    <row r="79" spans="1:8" s="39" customFormat="1" x14ac:dyDescent="0.25">
      <c r="A79" s="41" t="s">
        <v>12</v>
      </c>
      <c r="B79" s="17" t="s">
        <v>19</v>
      </c>
      <c r="C79" s="28" t="s">
        <v>40</v>
      </c>
      <c r="D79" s="1">
        <v>100000</v>
      </c>
      <c r="E79" s="1"/>
      <c r="F79" s="1">
        <v>100000</v>
      </c>
      <c r="G79" s="2">
        <f t="shared" si="10"/>
        <v>100</v>
      </c>
      <c r="H79" s="42">
        <f t="shared" si="11"/>
        <v>0</v>
      </c>
    </row>
    <row r="80" spans="1:8" s="39" customFormat="1" hidden="1" x14ac:dyDescent="0.25">
      <c r="A80" s="41" t="s">
        <v>14</v>
      </c>
      <c r="B80" s="26" t="s">
        <v>21</v>
      </c>
      <c r="C80" s="28" t="s">
        <v>40</v>
      </c>
      <c r="D80" s="1">
        <f>1000-1000</f>
        <v>0</v>
      </c>
      <c r="E80" s="1"/>
      <c r="F80" s="1"/>
      <c r="G80" s="2" t="e">
        <f t="shared" si="10"/>
        <v>#DIV/0!</v>
      </c>
      <c r="H80" s="42">
        <f t="shared" si="11"/>
        <v>0</v>
      </c>
    </row>
    <row r="81" spans="1:8" s="39" customFormat="1" x14ac:dyDescent="0.25">
      <c r="A81" s="41" t="s">
        <v>14</v>
      </c>
      <c r="B81" s="17" t="s">
        <v>23</v>
      </c>
      <c r="C81" s="28" t="s">
        <v>40</v>
      </c>
      <c r="D81" s="1">
        <v>100000</v>
      </c>
      <c r="E81" s="1"/>
      <c r="F81" s="1">
        <f>99000</f>
        <v>99000</v>
      </c>
      <c r="G81" s="2">
        <f t="shared" si="10"/>
        <v>99</v>
      </c>
      <c r="H81" s="42">
        <f t="shared" si="11"/>
        <v>1000</v>
      </c>
    </row>
    <row r="82" spans="1:8" s="39" customFormat="1" x14ac:dyDescent="0.25">
      <c r="A82" s="41" t="s">
        <v>16</v>
      </c>
      <c r="B82" s="17" t="s">
        <v>25</v>
      </c>
      <c r="C82" s="28" t="s">
        <v>40</v>
      </c>
      <c r="D82" s="1">
        <v>1000</v>
      </c>
      <c r="E82" s="1"/>
      <c r="F82" s="1"/>
      <c r="G82" s="2">
        <f t="shared" si="10"/>
        <v>0</v>
      </c>
      <c r="H82" s="42">
        <f t="shared" si="11"/>
        <v>1000</v>
      </c>
    </row>
    <row r="83" spans="1:8" s="39" customFormat="1" x14ac:dyDescent="0.25">
      <c r="A83" s="41" t="s">
        <v>18</v>
      </c>
      <c r="B83" s="17" t="s">
        <v>27</v>
      </c>
      <c r="C83" s="28" t="s">
        <v>40</v>
      </c>
      <c r="D83" s="1">
        <v>1000</v>
      </c>
      <c r="E83" s="1"/>
      <c r="F83" s="1"/>
      <c r="G83" s="2">
        <f t="shared" si="10"/>
        <v>0</v>
      </c>
      <c r="H83" s="42">
        <f t="shared" si="11"/>
        <v>1000</v>
      </c>
    </row>
    <row r="84" spans="1:8" s="39" customFormat="1" x14ac:dyDescent="0.25">
      <c r="A84" s="41" t="s">
        <v>20</v>
      </c>
      <c r="B84" s="17" t="s">
        <v>29</v>
      </c>
      <c r="C84" s="28" t="s">
        <v>40</v>
      </c>
      <c r="D84" s="1">
        <v>50000</v>
      </c>
      <c r="E84" s="1"/>
      <c r="F84" s="1">
        <f>50000</f>
        <v>50000</v>
      </c>
      <c r="G84" s="2">
        <f t="shared" si="10"/>
        <v>100</v>
      </c>
      <c r="H84" s="42">
        <f t="shared" si="11"/>
        <v>0</v>
      </c>
    </row>
    <row r="85" spans="1:8" s="39" customFormat="1" hidden="1" x14ac:dyDescent="0.25">
      <c r="A85" s="41" t="s">
        <v>24</v>
      </c>
      <c r="B85" s="17" t="s">
        <v>31</v>
      </c>
      <c r="C85" s="28" t="s">
        <v>40</v>
      </c>
      <c r="D85" s="1">
        <f>30000-30000</f>
        <v>0</v>
      </c>
      <c r="E85" s="1"/>
      <c r="F85" s="1"/>
      <c r="G85" s="2" t="e">
        <f t="shared" si="10"/>
        <v>#DIV/0!</v>
      </c>
      <c r="H85" s="42">
        <f t="shared" si="11"/>
        <v>0</v>
      </c>
    </row>
    <row r="86" spans="1:8" s="39" customFormat="1" x14ac:dyDescent="0.25">
      <c r="A86" s="41" t="s">
        <v>22</v>
      </c>
      <c r="B86" s="17" t="s">
        <v>33</v>
      </c>
      <c r="C86" s="28" t="s">
        <v>40</v>
      </c>
      <c r="D86" s="1">
        <v>20000</v>
      </c>
      <c r="E86" s="1"/>
      <c r="F86" s="1">
        <f>20000</f>
        <v>20000</v>
      </c>
      <c r="G86" s="2">
        <f t="shared" si="10"/>
        <v>100</v>
      </c>
      <c r="H86" s="42">
        <f t="shared" si="11"/>
        <v>0</v>
      </c>
    </row>
    <row r="87" spans="1:8" s="39" customFormat="1" x14ac:dyDescent="0.25">
      <c r="A87" s="44"/>
      <c r="B87" s="21" t="s">
        <v>35</v>
      </c>
      <c r="C87" s="28" t="s">
        <v>123</v>
      </c>
      <c r="D87" s="22">
        <f>SUM(D75:D86)</f>
        <v>474000</v>
      </c>
      <c r="E87" s="22">
        <f>SUM(E75:E86)</f>
        <v>0</v>
      </c>
      <c r="F87" s="22">
        <f>SUM(F75:F86)</f>
        <v>469000</v>
      </c>
      <c r="G87" s="3">
        <f t="shared" si="10"/>
        <v>98.95</v>
      </c>
      <c r="H87" s="45">
        <f>SUM(H75:H86)</f>
        <v>5000</v>
      </c>
    </row>
    <row r="88" spans="1:8" s="39" customFormat="1" ht="47.25" customHeight="1" x14ac:dyDescent="0.25">
      <c r="A88" s="46"/>
      <c r="B88" s="76" t="s">
        <v>79</v>
      </c>
      <c r="C88" s="73"/>
      <c r="D88" s="73"/>
      <c r="E88" s="73"/>
      <c r="F88" s="73"/>
      <c r="G88" s="73"/>
      <c r="H88" s="74"/>
    </row>
    <row r="89" spans="1:8" s="39" customFormat="1" x14ac:dyDescent="0.25">
      <c r="A89" s="41" t="s">
        <v>4</v>
      </c>
      <c r="B89" s="17" t="s">
        <v>11</v>
      </c>
      <c r="C89" s="28" t="s">
        <v>41</v>
      </c>
      <c r="D89" s="1">
        <v>1000</v>
      </c>
      <c r="E89" s="1"/>
      <c r="F89" s="1"/>
      <c r="G89" s="2">
        <f t="shared" ref="G89:G101" si="12">ROUND(F89/D89*100,2)</f>
        <v>0</v>
      </c>
      <c r="H89" s="42">
        <f t="shared" ref="H89:H100" si="13">D89-F89</f>
        <v>1000</v>
      </c>
    </row>
    <row r="90" spans="1:8" s="39" customFormat="1" x14ac:dyDescent="0.25">
      <c r="A90" s="41" t="s">
        <v>6</v>
      </c>
      <c r="B90" s="17" t="s">
        <v>13</v>
      </c>
      <c r="C90" s="28" t="s">
        <v>41</v>
      </c>
      <c r="D90" s="1">
        <v>1000</v>
      </c>
      <c r="E90" s="1"/>
      <c r="F90" s="1"/>
      <c r="G90" s="2">
        <f t="shared" si="12"/>
        <v>0</v>
      </c>
      <c r="H90" s="42">
        <f t="shared" si="13"/>
        <v>1000</v>
      </c>
    </row>
    <row r="91" spans="1:8" s="39" customFormat="1" hidden="1" x14ac:dyDescent="0.25">
      <c r="A91" s="41" t="s">
        <v>8</v>
      </c>
      <c r="B91" s="17" t="s">
        <v>15</v>
      </c>
      <c r="C91" s="28" t="s">
        <v>41</v>
      </c>
      <c r="D91" s="1">
        <f>50000-50000</f>
        <v>0</v>
      </c>
      <c r="E91" s="1"/>
      <c r="F91" s="1"/>
      <c r="G91" s="2" t="e">
        <f t="shared" si="12"/>
        <v>#DIV/0!</v>
      </c>
      <c r="H91" s="42">
        <f t="shared" si="13"/>
        <v>0</v>
      </c>
    </row>
    <row r="92" spans="1:8" s="39" customFormat="1" x14ac:dyDescent="0.25">
      <c r="A92" s="41" t="s">
        <v>8</v>
      </c>
      <c r="B92" s="17" t="s">
        <v>17</v>
      </c>
      <c r="C92" s="28" t="s">
        <v>41</v>
      </c>
      <c r="D92" s="1">
        <v>1000</v>
      </c>
      <c r="E92" s="1"/>
      <c r="F92" s="1"/>
      <c r="G92" s="2">
        <f t="shared" si="12"/>
        <v>0</v>
      </c>
      <c r="H92" s="42">
        <f t="shared" si="13"/>
        <v>1000</v>
      </c>
    </row>
    <row r="93" spans="1:8" s="39" customFormat="1" x14ac:dyDescent="0.25">
      <c r="A93" s="41" t="s">
        <v>10</v>
      </c>
      <c r="B93" s="17" t="s">
        <v>19</v>
      </c>
      <c r="C93" s="28" t="s">
        <v>41</v>
      </c>
      <c r="D93" s="1">
        <v>1000</v>
      </c>
      <c r="E93" s="1"/>
      <c r="F93" s="1">
        <f>1000</f>
        <v>1000</v>
      </c>
      <c r="G93" s="2">
        <f t="shared" si="12"/>
        <v>100</v>
      </c>
      <c r="H93" s="42">
        <f t="shared" si="13"/>
        <v>0</v>
      </c>
    </row>
    <row r="94" spans="1:8" s="39" customFormat="1" hidden="1" x14ac:dyDescent="0.25">
      <c r="A94" s="41" t="s">
        <v>14</v>
      </c>
      <c r="B94" s="26" t="s">
        <v>21</v>
      </c>
      <c r="C94" s="28" t="s">
        <v>41</v>
      </c>
      <c r="D94" s="1">
        <f>1000-1000</f>
        <v>0</v>
      </c>
      <c r="E94" s="1"/>
      <c r="F94" s="1"/>
      <c r="G94" s="2" t="e">
        <f t="shared" si="12"/>
        <v>#DIV/0!</v>
      </c>
      <c r="H94" s="42">
        <f t="shared" si="13"/>
        <v>0</v>
      </c>
    </row>
    <row r="95" spans="1:8" s="39" customFormat="1" x14ac:dyDescent="0.25">
      <c r="A95" s="41" t="s">
        <v>12</v>
      </c>
      <c r="B95" s="17" t="s">
        <v>23</v>
      </c>
      <c r="C95" s="28" t="s">
        <v>41</v>
      </c>
      <c r="D95" s="1">
        <v>1000</v>
      </c>
      <c r="E95" s="1"/>
      <c r="F95" s="1"/>
      <c r="G95" s="2">
        <f t="shared" si="12"/>
        <v>0</v>
      </c>
      <c r="H95" s="42">
        <f t="shared" si="13"/>
        <v>1000</v>
      </c>
    </row>
    <row r="96" spans="1:8" s="39" customFormat="1" hidden="1" x14ac:dyDescent="0.25">
      <c r="A96" s="41" t="s">
        <v>18</v>
      </c>
      <c r="B96" s="17" t="s">
        <v>25</v>
      </c>
      <c r="C96" s="28" t="s">
        <v>41</v>
      </c>
      <c r="D96" s="1">
        <f>5000-5000</f>
        <v>0</v>
      </c>
      <c r="E96" s="1"/>
      <c r="F96" s="1"/>
      <c r="G96" s="2" t="e">
        <f t="shared" si="12"/>
        <v>#DIV/0!</v>
      </c>
      <c r="H96" s="42">
        <f t="shared" si="13"/>
        <v>0</v>
      </c>
    </row>
    <row r="97" spans="1:8" s="39" customFormat="1" x14ac:dyDescent="0.25">
      <c r="A97" s="41" t="s">
        <v>14</v>
      </c>
      <c r="B97" s="17" t="s">
        <v>27</v>
      </c>
      <c r="C97" s="28" t="s">
        <v>41</v>
      </c>
      <c r="D97" s="1">
        <v>1000</v>
      </c>
      <c r="E97" s="1"/>
      <c r="F97" s="1"/>
      <c r="G97" s="2">
        <f t="shared" si="12"/>
        <v>0</v>
      </c>
      <c r="H97" s="42">
        <f t="shared" si="13"/>
        <v>1000</v>
      </c>
    </row>
    <row r="98" spans="1:8" s="39" customFormat="1" hidden="1" x14ac:dyDescent="0.25">
      <c r="A98" s="41" t="s">
        <v>22</v>
      </c>
      <c r="B98" s="17" t="s">
        <v>29</v>
      </c>
      <c r="C98" s="28" t="s">
        <v>41</v>
      </c>
      <c r="D98" s="1">
        <f>1000-1000</f>
        <v>0</v>
      </c>
      <c r="E98" s="1"/>
      <c r="F98" s="1"/>
      <c r="G98" s="2" t="e">
        <f t="shared" si="12"/>
        <v>#DIV/0!</v>
      </c>
      <c r="H98" s="42">
        <f t="shared" si="13"/>
        <v>0</v>
      </c>
    </row>
    <row r="99" spans="1:8" s="39" customFormat="1" hidden="1" x14ac:dyDescent="0.25">
      <c r="A99" s="41" t="s">
        <v>24</v>
      </c>
      <c r="B99" s="17" t="s">
        <v>31</v>
      </c>
      <c r="C99" s="28" t="s">
        <v>41</v>
      </c>
      <c r="D99" s="1">
        <f>30000-30000</f>
        <v>0</v>
      </c>
      <c r="E99" s="1"/>
      <c r="F99" s="1"/>
      <c r="G99" s="2" t="e">
        <f t="shared" si="12"/>
        <v>#DIV/0!</v>
      </c>
      <c r="H99" s="42">
        <f t="shared" si="13"/>
        <v>0</v>
      </c>
    </row>
    <row r="100" spans="1:8" s="39" customFormat="1" x14ac:dyDescent="0.25">
      <c r="A100" s="41" t="s">
        <v>16</v>
      </c>
      <c r="B100" s="17" t="s">
        <v>33</v>
      </c>
      <c r="C100" s="28" t="s">
        <v>41</v>
      </c>
      <c r="D100" s="1">
        <v>10000</v>
      </c>
      <c r="E100" s="1"/>
      <c r="F100" s="1">
        <f>4500</f>
        <v>4500</v>
      </c>
      <c r="G100" s="2">
        <f t="shared" si="12"/>
        <v>45</v>
      </c>
      <c r="H100" s="42">
        <f t="shared" si="13"/>
        <v>5500</v>
      </c>
    </row>
    <row r="101" spans="1:8" s="39" customFormat="1" x14ac:dyDescent="0.25">
      <c r="A101" s="44"/>
      <c r="B101" s="21" t="s">
        <v>35</v>
      </c>
      <c r="C101" s="28" t="s">
        <v>124</v>
      </c>
      <c r="D101" s="22">
        <f>SUM(D89:D100)</f>
        <v>16000</v>
      </c>
      <c r="E101" s="22">
        <f>SUM(E89:E100)</f>
        <v>0</v>
      </c>
      <c r="F101" s="22">
        <f>SUM(F89:F100)</f>
        <v>5500</v>
      </c>
      <c r="G101" s="3">
        <f t="shared" si="12"/>
        <v>34.380000000000003</v>
      </c>
      <c r="H101" s="45">
        <f>SUM(H89:H100)</f>
        <v>10500</v>
      </c>
    </row>
    <row r="102" spans="1:8" s="39" customFormat="1" ht="65.25" customHeight="1" x14ac:dyDescent="0.25">
      <c r="A102" s="46"/>
      <c r="B102" s="76" t="s">
        <v>80</v>
      </c>
      <c r="C102" s="73"/>
      <c r="D102" s="73"/>
      <c r="E102" s="73"/>
      <c r="F102" s="73"/>
      <c r="G102" s="73"/>
      <c r="H102" s="74"/>
    </row>
    <row r="103" spans="1:8" s="39" customFormat="1" x14ac:dyDescent="0.25">
      <c r="A103" s="41" t="s">
        <v>4</v>
      </c>
      <c r="B103" s="17" t="s">
        <v>11</v>
      </c>
      <c r="C103" s="28" t="s">
        <v>42</v>
      </c>
      <c r="D103" s="1">
        <v>1000</v>
      </c>
      <c r="E103" s="1"/>
      <c r="F103" s="1"/>
      <c r="G103" s="2">
        <f t="shared" ref="G103:G115" si="14">ROUND(F103/D103*100,2)</f>
        <v>0</v>
      </c>
      <c r="H103" s="42">
        <f t="shared" ref="H103:H114" si="15">D103-F103</f>
        <v>1000</v>
      </c>
    </row>
    <row r="104" spans="1:8" s="39" customFormat="1" x14ac:dyDescent="0.25">
      <c r="A104" s="41" t="s">
        <v>6</v>
      </c>
      <c r="B104" s="17" t="s">
        <v>13</v>
      </c>
      <c r="C104" s="28" t="s">
        <v>42</v>
      </c>
      <c r="D104" s="1">
        <v>1000</v>
      </c>
      <c r="E104" s="1"/>
      <c r="F104" s="1"/>
      <c r="G104" s="2">
        <f t="shared" si="14"/>
        <v>0</v>
      </c>
      <c r="H104" s="42">
        <f t="shared" si="15"/>
        <v>1000</v>
      </c>
    </row>
    <row r="105" spans="1:8" s="39" customFormat="1" x14ac:dyDescent="0.25">
      <c r="A105" s="41" t="s">
        <v>8</v>
      </c>
      <c r="B105" s="17" t="s">
        <v>15</v>
      </c>
      <c r="C105" s="28" t="s">
        <v>42</v>
      </c>
      <c r="D105" s="1">
        <v>1000</v>
      </c>
      <c r="E105" s="1"/>
      <c r="F105" s="1"/>
      <c r="G105" s="2">
        <f t="shared" si="14"/>
        <v>0</v>
      </c>
      <c r="H105" s="42">
        <f t="shared" si="15"/>
        <v>1000</v>
      </c>
    </row>
    <row r="106" spans="1:8" s="39" customFormat="1" x14ac:dyDescent="0.25">
      <c r="A106" s="41" t="s">
        <v>10</v>
      </c>
      <c r="B106" s="17" t="s">
        <v>17</v>
      </c>
      <c r="C106" s="28" t="s">
        <v>42</v>
      </c>
      <c r="D106" s="1">
        <v>1000</v>
      </c>
      <c r="E106" s="1"/>
      <c r="F106" s="1"/>
      <c r="G106" s="2">
        <f t="shared" si="14"/>
        <v>0</v>
      </c>
      <c r="H106" s="42">
        <f t="shared" si="15"/>
        <v>1000</v>
      </c>
    </row>
    <row r="107" spans="1:8" s="39" customFormat="1" x14ac:dyDescent="0.25">
      <c r="A107" s="41" t="s">
        <v>12</v>
      </c>
      <c r="B107" s="17" t="s">
        <v>19</v>
      </c>
      <c r="C107" s="28" t="s">
        <v>42</v>
      </c>
      <c r="D107" s="1">
        <v>1000</v>
      </c>
      <c r="E107" s="1"/>
      <c r="F107" s="1">
        <f>1000</f>
        <v>1000</v>
      </c>
      <c r="G107" s="2">
        <f t="shared" si="14"/>
        <v>100</v>
      </c>
      <c r="H107" s="42">
        <f t="shared" si="15"/>
        <v>0</v>
      </c>
    </row>
    <row r="108" spans="1:8" s="39" customFormat="1" hidden="1" x14ac:dyDescent="0.25">
      <c r="A108" s="41" t="s">
        <v>14</v>
      </c>
      <c r="B108" s="26" t="s">
        <v>21</v>
      </c>
      <c r="C108" s="28" t="s">
        <v>42</v>
      </c>
      <c r="D108" s="1">
        <f>1000-1000</f>
        <v>0</v>
      </c>
      <c r="E108" s="1"/>
      <c r="F108" s="1"/>
      <c r="G108" s="2" t="e">
        <f t="shared" si="14"/>
        <v>#DIV/0!</v>
      </c>
      <c r="H108" s="42">
        <f t="shared" si="15"/>
        <v>0</v>
      </c>
    </row>
    <row r="109" spans="1:8" s="39" customFormat="1" x14ac:dyDescent="0.25">
      <c r="A109" s="41" t="s">
        <v>14</v>
      </c>
      <c r="B109" s="17" t="s">
        <v>23</v>
      </c>
      <c r="C109" s="28" t="s">
        <v>42</v>
      </c>
      <c r="D109" s="1">
        <f>50000-40000</f>
        <v>10000</v>
      </c>
      <c r="E109" s="1"/>
      <c r="F109" s="1">
        <f>10000</f>
        <v>10000</v>
      </c>
      <c r="G109" s="2">
        <f t="shared" si="14"/>
        <v>100</v>
      </c>
      <c r="H109" s="42">
        <f t="shared" si="15"/>
        <v>0</v>
      </c>
    </row>
    <row r="110" spans="1:8" s="39" customFormat="1" hidden="1" x14ac:dyDescent="0.25">
      <c r="A110" s="41" t="s">
        <v>18</v>
      </c>
      <c r="B110" s="17" t="s">
        <v>25</v>
      </c>
      <c r="C110" s="28" t="s">
        <v>42</v>
      </c>
      <c r="D110" s="1">
        <f>5000-5000</f>
        <v>0</v>
      </c>
      <c r="E110" s="1"/>
      <c r="F110" s="1"/>
      <c r="G110" s="2" t="e">
        <f t="shared" si="14"/>
        <v>#DIV/0!</v>
      </c>
      <c r="H110" s="42">
        <f t="shared" si="15"/>
        <v>0</v>
      </c>
    </row>
    <row r="111" spans="1:8" s="39" customFormat="1" x14ac:dyDescent="0.25">
      <c r="A111" s="41" t="s">
        <v>16</v>
      </c>
      <c r="B111" s="17" t="s">
        <v>27</v>
      </c>
      <c r="C111" s="28" t="s">
        <v>42</v>
      </c>
      <c r="D111" s="1">
        <v>1000</v>
      </c>
      <c r="E111" s="1"/>
      <c r="F111" s="1"/>
      <c r="G111" s="2">
        <f t="shared" si="14"/>
        <v>0</v>
      </c>
      <c r="H111" s="42">
        <f t="shared" si="15"/>
        <v>1000</v>
      </c>
    </row>
    <row r="112" spans="1:8" s="39" customFormat="1" hidden="1" x14ac:dyDescent="0.25">
      <c r="A112" s="41" t="s">
        <v>22</v>
      </c>
      <c r="B112" s="17" t="s">
        <v>29</v>
      </c>
      <c r="C112" s="28" t="s">
        <v>42</v>
      </c>
      <c r="D112" s="1">
        <f>1000-1000</f>
        <v>0</v>
      </c>
      <c r="E112" s="1"/>
      <c r="F112" s="1"/>
      <c r="G112" s="2" t="e">
        <f t="shared" si="14"/>
        <v>#DIV/0!</v>
      </c>
      <c r="H112" s="42">
        <f t="shared" si="15"/>
        <v>0</v>
      </c>
    </row>
    <row r="113" spans="1:8" s="39" customFormat="1" hidden="1" x14ac:dyDescent="0.25">
      <c r="A113" s="41" t="s">
        <v>24</v>
      </c>
      <c r="B113" s="17" t="s">
        <v>31</v>
      </c>
      <c r="C113" s="28" t="s">
        <v>42</v>
      </c>
      <c r="D113" s="1">
        <f>30000-30000</f>
        <v>0</v>
      </c>
      <c r="E113" s="1"/>
      <c r="F113" s="1"/>
      <c r="G113" s="2" t="e">
        <f t="shared" si="14"/>
        <v>#DIV/0!</v>
      </c>
      <c r="H113" s="42">
        <f t="shared" si="15"/>
        <v>0</v>
      </c>
    </row>
    <row r="114" spans="1:8" s="39" customFormat="1" x14ac:dyDescent="0.25">
      <c r="A114" s="41" t="s">
        <v>18</v>
      </c>
      <c r="B114" s="17" t="s">
        <v>33</v>
      </c>
      <c r="C114" s="28" t="s">
        <v>42</v>
      </c>
      <c r="D114" s="1">
        <v>1000</v>
      </c>
      <c r="E114" s="1"/>
      <c r="F114" s="1">
        <f>900</f>
        <v>900</v>
      </c>
      <c r="G114" s="2">
        <f t="shared" si="14"/>
        <v>90</v>
      </c>
      <c r="H114" s="42">
        <f t="shared" si="15"/>
        <v>100</v>
      </c>
    </row>
    <row r="115" spans="1:8" s="39" customFormat="1" x14ac:dyDescent="0.25">
      <c r="A115" s="44"/>
      <c r="B115" s="21" t="s">
        <v>35</v>
      </c>
      <c r="C115" s="28" t="s">
        <v>125</v>
      </c>
      <c r="D115" s="22">
        <f>SUM(D103:D114)</f>
        <v>17000</v>
      </c>
      <c r="E115" s="22">
        <f>SUM(E103:E114)</f>
        <v>0</v>
      </c>
      <c r="F115" s="22">
        <f>SUM(F103:F114)</f>
        <v>11900</v>
      </c>
      <c r="G115" s="3">
        <f t="shared" si="14"/>
        <v>70</v>
      </c>
      <c r="H115" s="45">
        <f>SUM(H103:H114)</f>
        <v>5100</v>
      </c>
    </row>
    <row r="116" spans="1:8" s="39" customFormat="1" ht="63.75" customHeight="1" x14ac:dyDescent="0.25">
      <c r="A116" s="46"/>
      <c r="B116" s="76" t="s">
        <v>81</v>
      </c>
      <c r="C116" s="73"/>
      <c r="D116" s="73"/>
      <c r="E116" s="73"/>
      <c r="F116" s="73"/>
      <c r="G116" s="73"/>
      <c r="H116" s="74"/>
    </row>
    <row r="117" spans="1:8" s="39" customFormat="1" x14ac:dyDescent="0.25">
      <c r="A117" s="41" t="s">
        <v>4</v>
      </c>
      <c r="B117" s="17" t="s">
        <v>11</v>
      </c>
      <c r="C117" s="28" t="s">
        <v>43</v>
      </c>
      <c r="D117" s="1">
        <v>50000</v>
      </c>
      <c r="E117" s="1"/>
      <c r="F117" s="1">
        <f>32400</f>
        <v>32400</v>
      </c>
      <c r="G117" s="2">
        <f t="shared" ref="G117:G129" si="16">ROUND(F117/D117*100,2)</f>
        <v>64.8</v>
      </c>
      <c r="H117" s="42">
        <f t="shared" ref="H117:H128" si="17">D117-F117</f>
        <v>17600</v>
      </c>
    </row>
    <row r="118" spans="1:8" s="39" customFormat="1" x14ac:dyDescent="0.25">
      <c r="A118" s="41" t="s">
        <v>6</v>
      </c>
      <c r="B118" s="17" t="s">
        <v>13</v>
      </c>
      <c r="C118" s="28" t="s">
        <v>43</v>
      </c>
      <c r="D118" s="1">
        <v>1000</v>
      </c>
      <c r="E118" s="1"/>
      <c r="F118" s="1"/>
      <c r="G118" s="2">
        <f t="shared" si="16"/>
        <v>0</v>
      </c>
      <c r="H118" s="42">
        <f t="shared" si="17"/>
        <v>1000</v>
      </c>
    </row>
    <row r="119" spans="1:8" s="39" customFormat="1" hidden="1" x14ac:dyDescent="0.25">
      <c r="A119" s="41" t="s">
        <v>8</v>
      </c>
      <c r="B119" s="17" t="s">
        <v>15</v>
      </c>
      <c r="C119" s="28" t="s">
        <v>43</v>
      </c>
      <c r="D119" s="1">
        <f>50000-50000</f>
        <v>0</v>
      </c>
      <c r="E119" s="1"/>
      <c r="F119" s="1"/>
      <c r="G119" s="2" t="e">
        <f t="shared" si="16"/>
        <v>#DIV/0!</v>
      </c>
      <c r="H119" s="42">
        <f t="shared" si="17"/>
        <v>0</v>
      </c>
    </row>
    <row r="120" spans="1:8" s="39" customFormat="1" x14ac:dyDescent="0.25">
      <c r="A120" s="41" t="s">
        <v>8</v>
      </c>
      <c r="B120" s="17" t="s">
        <v>17</v>
      </c>
      <c r="C120" s="28" t="s">
        <v>43</v>
      </c>
      <c r="D120" s="1">
        <v>1000</v>
      </c>
      <c r="E120" s="1"/>
      <c r="F120" s="1"/>
      <c r="G120" s="2">
        <f t="shared" si="16"/>
        <v>0</v>
      </c>
      <c r="H120" s="42">
        <f t="shared" si="17"/>
        <v>1000</v>
      </c>
    </row>
    <row r="121" spans="1:8" s="39" customFormat="1" x14ac:dyDescent="0.25">
      <c r="A121" s="41" t="s">
        <v>10</v>
      </c>
      <c r="B121" s="17" t="s">
        <v>19</v>
      </c>
      <c r="C121" s="28" t="s">
        <v>43</v>
      </c>
      <c r="D121" s="1">
        <v>1000</v>
      </c>
      <c r="E121" s="1"/>
      <c r="F121" s="1">
        <f>1000</f>
        <v>1000</v>
      </c>
      <c r="G121" s="2">
        <f t="shared" si="16"/>
        <v>100</v>
      </c>
      <c r="H121" s="42">
        <f t="shared" si="17"/>
        <v>0</v>
      </c>
    </row>
    <row r="122" spans="1:8" s="39" customFormat="1" hidden="1" x14ac:dyDescent="0.25">
      <c r="A122" s="41" t="s">
        <v>14</v>
      </c>
      <c r="B122" s="26" t="s">
        <v>21</v>
      </c>
      <c r="C122" s="28" t="s">
        <v>43</v>
      </c>
      <c r="D122" s="1">
        <f>1000-1000</f>
        <v>0</v>
      </c>
      <c r="E122" s="1"/>
      <c r="F122" s="1"/>
      <c r="G122" s="2" t="e">
        <f t="shared" si="16"/>
        <v>#DIV/0!</v>
      </c>
      <c r="H122" s="42">
        <f t="shared" si="17"/>
        <v>0</v>
      </c>
    </row>
    <row r="123" spans="1:8" s="39" customFormat="1" hidden="1" x14ac:dyDescent="0.25">
      <c r="A123" s="41" t="s">
        <v>16</v>
      </c>
      <c r="B123" s="17" t="s">
        <v>23</v>
      </c>
      <c r="C123" s="28" t="s">
        <v>43</v>
      </c>
      <c r="D123" s="1">
        <f>20000-20000</f>
        <v>0</v>
      </c>
      <c r="E123" s="1"/>
      <c r="F123" s="1"/>
      <c r="G123" s="2" t="e">
        <f t="shared" si="16"/>
        <v>#DIV/0!</v>
      </c>
      <c r="H123" s="42">
        <f t="shared" si="17"/>
        <v>0</v>
      </c>
    </row>
    <row r="124" spans="1:8" s="39" customFormat="1" x14ac:dyDescent="0.25">
      <c r="A124" s="41" t="s">
        <v>12</v>
      </c>
      <c r="B124" s="17" t="s">
        <v>25</v>
      </c>
      <c r="C124" s="28" t="s">
        <v>43</v>
      </c>
      <c r="D124" s="1">
        <v>1000</v>
      </c>
      <c r="E124" s="1"/>
      <c r="F124" s="1"/>
      <c r="G124" s="2">
        <f t="shared" si="16"/>
        <v>0</v>
      </c>
      <c r="H124" s="42">
        <f t="shared" si="17"/>
        <v>1000</v>
      </c>
    </row>
    <row r="125" spans="1:8" s="39" customFormat="1" x14ac:dyDescent="0.25">
      <c r="A125" s="41" t="s">
        <v>14</v>
      </c>
      <c r="B125" s="17" t="s">
        <v>27</v>
      </c>
      <c r="C125" s="28" t="s">
        <v>43</v>
      </c>
      <c r="D125" s="1">
        <v>1000</v>
      </c>
      <c r="E125" s="1"/>
      <c r="F125" s="1"/>
      <c r="G125" s="2">
        <f t="shared" si="16"/>
        <v>0</v>
      </c>
      <c r="H125" s="42">
        <f t="shared" si="17"/>
        <v>1000</v>
      </c>
    </row>
    <row r="126" spans="1:8" s="39" customFormat="1" x14ac:dyDescent="0.25">
      <c r="A126" s="41" t="s">
        <v>16</v>
      </c>
      <c r="B126" s="17" t="s">
        <v>29</v>
      </c>
      <c r="C126" s="28" t="s">
        <v>43</v>
      </c>
      <c r="D126" s="1">
        <v>30000</v>
      </c>
      <c r="E126" s="1"/>
      <c r="F126" s="1">
        <f>30000</f>
        <v>30000</v>
      </c>
      <c r="G126" s="2">
        <f t="shared" si="16"/>
        <v>100</v>
      </c>
      <c r="H126" s="42">
        <f t="shared" si="17"/>
        <v>0</v>
      </c>
    </row>
    <row r="127" spans="1:8" s="39" customFormat="1" x14ac:dyDescent="0.25">
      <c r="A127" s="41" t="s">
        <v>18</v>
      </c>
      <c r="B127" s="17" t="s">
        <v>31</v>
      </c>
      <c r="C127" s="28" t="s">
        <v>43</v>
      </c>
      <c r="D127" s="1">
        <v>10000</v>
      </c>
      <c r="E127" s="1"/>
      <c r="F127" s="1"/>
      <c r="G127" s="2">
        <f t="shared" si="16"/>
        <v>0</v>
      </c>
      <c r="H127" s="42">
        <f t="shared" si="17"/>
        <v>10000</v>
      </c>
    </row>
    <row r="128" spans="1:8" s="39" customFormat="1" x14ac:dyDescent="0.25">
      <c r="A128" s="41" t="s">
        <v>20</v>
      </c>
      <c r="B128" s="17" t="s">
        <v>33</v>
      </c>
      <c r="C128" s="28" t="s">
        <v>43</v>
      </c>
      <c r="D128" s="1">
        <v>1000</v>
      </c>
      <c r="E128" s="1"/>
      <c r="F128" s="1"/>
      <c r="G128" s="2">
        <f t="shared" si="16"/>
        <v>0</v>
      </c>
      <c r="H128" s="42">
        <f t="shared" si="17"/>
        <v>1000</v>
      </c>
    </row>
    <row r="129" spans="1:8" s="39" customFormat="1" x14ac:dyDescent="0.25">
      <c r="A129" s="44"/>
      <c r="B129" s="21" t="s">
        <v>35</v>
      </c>
      <c r="C129" s="28" t="s">
        <v>126</v>
      </c>
      <c r="D129" s="22">
        <f>SUM(D117:D128)</f>
        <v>96000</v>
      </c>
      <c r="E129" s="22">
        <f>SUM(E117:E128)</f>
        <v>0</v>
      </c>
      <c r="F129" s="22">
        <f>SUM(F117:F128)</f>
        <v>63400</v>
      </c>
      <c r="G129" s="3">
        <f t="shared" si="16"/>
        <v>66.040000000000006</v>
      </c>
      <c r="H129" s="45">
        <f>SUM(H117:H128)</f>
        <v>32600</v>
      </c>
    </row>
    <row r="130" spans="1:8" s="39" customFormat="1" ht="132" customHeight="1" x14ac:dyDescent="0.25">
      <c r="A130" s="46"/>
      <c r="B130" s="76" t="s">
        <v>64</v>
      </c>
      <c r="C130" s="73"/>
      <c r="D130" s="73"/>
      <c r="E130" s="73"/>
      <c r="F130" s="73"/>
      <c r="G130" s="73"/>
      <c r="H130" s="74"/>
    </row>
    <row r="131" spans="1:8" s="39" customFormat="1" x14ac:dyDescent="0.25">
      <c r="A131" s="41" t="s">
        <v>4</v>
      </c>
      <c r="B131" s="17" t="s">
        <v>11</v>
      </c>
      <c r="C131" s="28" t="s">
        <v>44</v>
      </c>
      <c r="D131" s="1">
        <f>203680.46+20937.51</f>
        <v>224617.97</v>
      </c>
      <c r="E131" s="1"/>
      <c r="F131" s="1">
        <f>200000+23500</f>
        <v>223500</v>
      </c>
      <c r="G131" s="2">
        <f t="shared" ref="G131:G143" si="18">ROUND(F131/D131*100,2)</f>
        <v>99.5</v>
      </c>
      <c r="H131" s="42">
        <f t="shared" ref="H131:H142" si="19">D131-F131</f>
        <v>1117.9700000000012</v>
      </c>
    </row>
    <row r="132" spans="1:8" s="39" customFormat="1" x14ac:dyDescent="0.25">
      <c r="A132" s="41" t="s">
        <v>6</v>
      </c>
      <c r="B132" s="17" t="s">
        <v>13</v>
      </c>
      <c r="C132" s="28" t="s">
        <v>44</v>
      </c>
      <c r="D132" s="1">
        <f>1394285.33+365280.21-478058.4+192272.65</f>
        <v>1473779.79</v>
      </c>
      <c r="E132" s="1"/>
      <c r="F132" s="1">
        <f>537226.8+390000+145829</f>
        <v>1073055.8</v>
      </c>
      <c r="G132" s="2">
        <f t="shared" si="18"/>
        <v>72.81</v>
      </c>
      <c r="H132" s="42">
        <f t="shared" si="19"/>
        <v>400723.99</v>
      </c>
    </row>
    <row r="133" spans="1:8" s="39" customFormat="1" x14ac:dyDescent="0.25">
      <c r="A133" s="41" t="s">
        <v>8</v>
      </c>
      <c r="B133" s="17" t="s">
        <v>15</v>
      </c>
      <c r="C133" s="28" t="s">
        <v>44</v>
      </c>
      <c r="D133" s="1">
        <f>2208081.35+240991.31</f>
        <v>2449072.66</v>
      </c>
      <c r="E133" s="1"/>
      <c r="F133" s="1">
        <f>600000+600000+600000+400000+100000+50000+50000+47906.68</f>
        <v>2447906.6800000002</v>
      </c>
      <c r="G133" s="2">
        <f t="shared" si="18"/>
        <v>99.95</v>
      </c>
      <c r="H133" s="42">
        <f t="shared" si="19"/>
        <v>1165.9799999999814</v>
      </c>
    </row>
    <row r="134" spans="1:8" s="39" customFormat="1" x14ac:dyDescent="0.25">
      <c r="A134" s="41" t="s">
        <v>10</v>
      </c>
      <c r="B134" s="17" t="s">
        <v>17</v>
      </c>
      <c r="C134" s="28" t="s">
        <v>44</v>
      </c>
      <c r="D134" s="1">
        <f>1113298.88+659965.02</f>
        <v>1773263.9</v>
      </c>
      <c r="E134" s="1"/>
      <c r="F134" s="1">
        <f>600000+741945+95000+336000</f>
        <v>1772945</v>
      </c>
      <c r="G134" s="2">
        <f t="shared" si="18"/>
        <v>99.98</v>
      </c>
      <c r="H134" s="42">
        <f t="shared" si="19"/>
        <v>318.89999999990687</v>
      </c>
    </row>
    <row r="135" spans="1:8" s="39" customFormat="1" x14ac:dyDescent="0.25">
      <c r="A135" s="41" t="s">
        <v>12</v>
      </c>
      <c r="B135" s="17" t="s">
        <v>19</v>
      </c>
      <c r="C135" s="28" t="s">
        <v>44</v>
      </c>
      <c r="D135" s="1">
        <f>911932.97+93743.6</f>
        <v>1005676.57</v>
      </c>
      <c r="E135" s="1"/>
      <c r="F135" s="1">
        <f>260000+124000+390000+170000+48000+13676.57</f>
        <v>1005676.57</v>
      </c>
      <c r="G135" s="2">
        <f t="shared" si="18"/>
        <v>100</v>
      </c>
      <c r="H135" s="42">
        <f t="shared" si="19"/>
        <v>0</v>
      </c>
    </row>
    <row r="136" spans="1:8" s="39" customFormat="1" x14ac:dyDescent="0.25">
      <c r="A136" s="41" t="s">
        <v>14</v>
      </c>
      <c r="B136" s="26" t="s">
        <v>21</v>
      </c>
      <c r="C136" s="28" t="s">
        <v>44</v>
      </c>
      <c r="D136" s="1">
        <f>1424374.49+146419.86</f>
        <v>1570794.35</v>
      </c>
      <c r="E136" s="1"/>
      <c r="F136" s="1">
        <v>1570794.35</v>
      </c>
      <c r="G136" s="2">
        <f t="shared" si="18"/>
        <v>100</v>
      </c>
      <c r="H136" s="42">
        <f t="shared" si="19"/>
        <v>0</v>
      </c>
    </row>
    <row r="137" spans="1:8" s="39" customFormat="1" x14ac:dyDescent="0.25">
      <c r="A137" s="41" t="s">
        <v>16</v>
      </c>
      <c r="B137" s="17" t="s">
        <v>23</v>
      </c>
      <c r="C137" s="28" t="s">
        <v>44</v>
      </c>
      <c r="D137" s="1">
        <f>2021991.48+603366.62</f>
        <v>2625358.1</v>
      </c>
      <c r="E137" s="1"/>
      <c r="F137" s="1">
        <f>734000+428000+96526+120000+115016+160000</f>
        <v>1653542</v>
      </c>
      <c r="G137" s="2">
        <f t="shared" si="18"/>
        <v>62.98</v>
      </c>
      <c r="H137" s="42">
        <f t="shared" si="19"/>
        <v>971816.10000000009</v>
      </c>
    </row>
    <row r="138" spans="1:8" s="39" customFormat="1" x14ac:dyDescent="0.25">
      <c r="A138" s="41" t="s">
        <v>18</v>
      </c>
      <c r="B138" s="17" t="s">
        <v>25</v>
      </c>
      <c r="C138" s="28" t="s">
        <v>44</v>
      </c>
      <c r="D138" s="1">
        <f>1553063.52+159648.55</f>
        <v>1712712.07</v>
      </c>
      <c r="E138" s="1"/>
      <c r="F138" s="1">
        <f>450000+445300+91200+540000+144000+42212.07</f>
        <v>1712712.07</v>
      </c>
      <c r="G138" s="2">
        <f t="shared" si="18"/>
        <v>100</v>
      </c>
      <c r="H138" s="42">
        <f t="shared" si="19"/>
        <v>0</v>
      </c>
    </row>
    <row r="139" spans="1:8" s="39" customFormat="1" x14ac:dyDescent="0.25">
      <c r="A139" s="41" t="s">
        <v>20</v>
      </c>
      <c r="B139" s="17" t="s">
        <v>27</v>
      </c>
      <c r="C139" s="28" t="s">
        <v>44</v>
      </c>
      <c r="D139" s="1">
        <f>806389.44+1193048.95</f>
        <v>1999438.39</v>
      </c>
      <c r="E139" s="1"/>
      <c r="F139" s="1">
        <f>180000+89999.98+86400+90000+662159.99+86400+70400+89999.99+595813.79+45851.37</f>
        <v>1997025.12</v>
      </c>
      <c r="G139" s="2">
        <f t="shared" si="18"/>
        <v>99.88</v>
      </c>
      <c r="H139" s="42">
        <f t="shared" si="19"/>
        <v>2413.2699999997858</v>
      </c>
    </row>
    <row r="140" spans="1:8" s="39" customFormat="1" x14ac:dyDescent="0.25">
      <c r="A140" s="41" t="s">
        <v>22</v>
      </c>
      <c r="B140" s="17" t="s">
        <v>29</v>
      </c>
      <c r="C140" s="28" t="s">
        <v>44</v>
      </c>
      <c r="D140" s="1">
        <f>1271614.14+131636.1</f>
        <v>1403250.24</v>
      </c>
      <c r="E140" s="1"/>
      <c r="F140" s="1">
        <f>120000+60000+276000+120000+217400+123100+25000+154500+247500+58974.57</f>
        <v>1402474.57</v>
      </c>
      <c r="G140" s="2">
        <f t="shared" si="18"/>
        <v>99.94</v>
      </c>
      <c r="H140" s="42">
        <f t="shared" si="19"/>
        <v>775.66999999992549</v>
      </c>
    </row>
    <row r="141" spans="1:8" s="39" customFormat="1" x14ac:dyDescent="0.25">
      <c r="A141" s="41" t="s">
        <v>24</v>
      </c>
      <c r="B141" s="17" t="s">
        <v>31</v>
      </c>
      <c r="C141" s="28" t="s">
        <v>44</v>
      </c>
      <c r="D141" s="1">
        <f>823980.04+176847.89</f>
        <v>1000827.93</v>
      </c>
      <c r="E141" s="1"/>
      <c r="F141" s="1">
        <f>60000+533000+58000+286827+60000</f>
        <v>997827</v>
      </c>
      <c r="G141" s="2">
        <f t="shared" si="18"/>
        <v>99.7</v>
      </c>
      <c r="H141" s="42">
        <f t="shared" si="19"/>
        <v>3000.9300000000512</v>
      </c>
    </row>
    <row r="142" spans="1:8" s="39" customFormat="1" x14ac:dyDescent="0.25">
      <c r="A142" s="41" t="s">
        <v>26</v>
      </c>
      <c r="B142" s="17" t="s">
        <v>33</v>
      </c>
      <c r="C142" s="28" t="s">
        <v>44</v>
      </c>
      <c r="D142" s="1">
        <f>425877.33+259111.19</f>
        <v>684988.52</v>
      </c>
      <c r="E142" s="1"/>
      <c r="F142" s="1">
        <v>63000</v>
      </c>
      <c r="G142" s="2">
        <f t="shared" si="18"/>
        <v>9.1999999999999993</v>
      </c>
      <c r="H142" s="42">
        <f t="shared" si="19"/>
        <v>621988.52</v>
      </c>
    </row>
    <row r="143" spans="1:8" s="39" customFormat="1" x14ac:dyDescent="0.25">
      <c r="A143" s="44"/>
      <c r="B143" s="21" t="s">
        <v>35</v>
      </c>
      <c r="C143" s="28" t="s">
        <v>127</v>
      </c>
      <c r="D143" s="22">
        <f>SUM(D131:D142)</f>
        <v>17923780.490000002</v>
      </c>
      <c r="E143" s="22">
        <f>SUM(E131:E142)</f>
        <v>0</v>
      </c>
      <c r="F143" s="22">
        <f>SUM(F131:F142)</f>
        <v>15920459.16</v>
      </c>
      <c r="G143" s="3">
        <f t="shared" si="18"/>
        <v>88.82</v>
      </c>
      <c r="H143" s="45">
        <f>SUM(H131:H142)</f>
        <v>2003321.3299999996</v>
      </c>
    </row>
    <row r="144" spans="1:8" s="4" customFormat="1" ht="111" customHeight="1" x14ac:dyDescent="0.25">
      <c r="A144" s="48"/>
      <c r="B144" s="77" t="s">
        <v>82</v>
      </c>
      <c r="C144" s="73"/>
      <c r="D144" s="73"/>
      <c r="E144" s="73"/>
      <c r="F144" s="73"/>
      <c r="G144" s="73"/>
      <c r="H144" s="74"/>
    </row>
    <row r="145" spans="1:8" s="39" customFormat="1" hidden="1" x14ac:dyDescent="0.25">
      <c r="A145" s="41" t="s">
        <v>4</v>
      </c>
      <c r="B145" s="17" t="s">
        <v>11</v>
      </c>
      <c r="C145" s="28" t="s">
        <v>45</v>
      </c>
      <c r="D145" s="1">
        <f>50000-50000</f>
        <v>0</v>
      </c>
      <c r="E145" s="1"/>
      <c r="F145" s="1"/>
      <c r="G145" s="2" t="e">
        <f t="shared" ref="G145:G157" si="20">ROUND(F145/D145*100,2)</f>
        <v>#DIV/0!</v>
      </c>
      <c r="H145" s="42">
        <f t="shared" ref="H145:H156" si="21">D145-F145</f>
        <v>0</v>
      </c>
    </row>
    <row r="146" spans="1:8" s="39" customFormat="1" x14ac:dyDescent="0.25">
      <c r="A146" s="41" t="s">
        <v>4</v>
      </c>
      <c r="B146" s="17" t="s">
        <v>13</v>
      </c>
      <c r="C146" s="28" t="s">
        <v>45</v>
      </c>
      <c r="D146" s="1">
        <f>100000-17100</f>
        <v>82900</v>
      </c>
      <c r="E146" s="1"/>
      <c r="F146" s="1">
        <f>70000+6900+5000</f>
        <v>81900</v>
      </c>
      <c r="G146" s="2">
        <f t="shared" si="20"/>
        <v>98.79</v>
      </c>
      <c r="H146" s="42">
        <f t="shared" si="21"/>
        <v>1000</v>
      </c>
    </row>
    <row r="147" spans="1:8" s="39" customFormat="1" x14ac:dyDescent="0.25">
      <c r="A147" s="41" t="s">
        <v>6</v>
      </c>
      <c r="B147" s="17" t="s">
        <v>15</v>
      </c>
      <c r="C147" s="28" t="s">
        <v>45</v>
      </c>
      <c r="D147" s="1">
        <v>100000</v>
      </c>
      <c r="E147" s="1"/>
      <c r="F147" s="1">
        <f>8000+4800+40600+42500</f>
        <v>95900</v>
      </c>
      <c r="G147" s="2">
        <f t="shared" si="20"/>
        <v>95.9</v>
      </c>
      <c r="H147" s="42">
        <f t="shared" si="21"/>
        <v>4100</v>
      </c>
    </row>
    <row r="148" spans="1:8" s="39" customFormat="1" x14ac:dyDescent="0.25">
      <c r="A148" s="41" t="s">
        <v>8</v>
      </c>
      <c r="B148" s="17" t="s">
        <v>17</v>
      </c>
      <c r="C148" s="28" t="s">
        <v>45</v>
      </c>
      <c r="D148" s="1">
        <v>50000</v>
      </c>
      <c r="E148" s="1"/>
      <c r="F148" s="1">
        <v>50000</v>
      </c>
      <c r="G148" s="2">
        <f t="shared" si="20"/>
        <v>100</v>
      </c>
      <c r="H148" s="42">
        <f t="shared" si="21"/>
        <v>0</v>
      </c>
    </row>
    <row r="149" spans="1:8" s="39" customFormat="1" x14ac:dyDescent="0.25">
      <c r="A149" s="41" t="s">
        <v>10</v>
      </c>
      <c r="B149" s="17" t="s">
        <v>19</v>
      </c>
      <c r="C149" s="28" t="s">
        <v>45</v>
      </c>
      <c r="D149" s="1">
        <v>100000</v>
      </c>
      <c r="E149" s="1"/>
      <c r="F149" s="1">
        <f>89500+10500</f>
        <v>100000</v>
      </c>
      <c r="G149" s="2">
        <f t="shared" si="20"/>
        <v>100</v>
      </c>
      <c r="H149" s="42">
        <f t="shared" si="21"/>
        <v>0</v>
      </c>
    </row>
    <row r="150" spans="1:8" s="39" customFormat="1" hidden="1" x14ac:dyDescent="0.25">
      <c r="A150" s="41" t="s">
        <v>14</v>
      </c>
      <c r="B150" s="26" t="s">
        <v>21</v>
      </c>
      <c r="C150" s="28" t="s">
        <v>45</v>
      </c>
      <c r="D150" s="1">
        <f>1000-1000</f>
        <v>0</v>
      </c>
      <c r="E150" s="1"/>
      <c r="F150" s="1"/>
      <c r="G150" s="2" t="e">
        <f t="shared" si="20"/>
        <v>#DIV/0!</v>
      </c>
      <c r="H150" s="42">
        <f t="shared" si="21"/>
        <v>0</v>
      </c>
    </row>
    <row r="151" spans="1:8" s="39" customFormat="1" x14ac:dyDescent="0.25">
      <c r="A151" s="41" t="s">
        <v>12</v>
      </c>
      <c r="B151" s="17" t="s">
        <v>23</v>
      </c>
      <c r="C151" s="28" t="s">
        <v>45</v>
      </c>
      <c r="D151" s="1">
        <v>100000</v>
      </c>
      <c r="E151" s="1"/>
      <c r="F151" s="1">
        <f>24500+15800+8000</f>
        <v>48300</v>
      </c>
      <c r="G151" s="2">
        <f t="shared" si="20"/>
        <v>48.3</v>
      </c>
      <c r="H151" s="42">
        <f t="shared" si="21"/>
        <v>51700</v>
      </c>
    </row>
    <row r="152" spans="1:8" s="39" customFormat="1" x14ac:dyDescent="0.25">
      <c r="A152" s="41" t="s">
        <v>14</v>
      </c>
      <c r="B152" s="17" t="s">
        <v>25</v>
      </c>
      <c r="C152" s="28" t="s">
        <v>45</v>
      </c>
      <c r="D152" s="1">
        <f>200000-194500</f>
        <v>5500</v>
      </c>
      <c r="E152" s="1"/>
      <c r="F152" s="1">
        <f>5500</f>
        <v>5500</v>
      </c>
      <c r="G152" s="2">
        <f t="shared" si="20"/>
        <v>100</v>
      </c>
      <c r="H152" s="42">
        <f t="shared" si="21"/>
        <v>0</v>
      </c>
    </row>
    <row r="153" spans="1:8" s="39" customFormat="1" hidden="1" x14ac:dyDescent="0.25">
      <c r="A153" s="41" t="s">
        <v>20</v>
      </c>
      <c r="B153" s="17" t="s">
        <v>27</v>
      </c>
      <c r="C153" s="28" t="s">
        <v>45</v>
      </c>
      <c r="D153" s="1">
        <f>200000-100000-100000</f>
        <v>0</v>
      </c>
      <c r="E153" s="1"/>
      <c r="F153" s="1"/>
      <c r="G153" s="2" t="e">
        <f t="shared" si="20"/>
        <v>#DIV/0!</v>
      </c>
      <c r="H153" s="42">
        <f t="shared" si="21"/>
        <v>0</v>
      </c>
    </row>
    <row r="154" spans="1:8" s="39" customFormat="1" x14ac:dyDescent="0.25">
      <c r="A154" s="41" t="s">
        <v>16</v>
      </c>
      <c r="B154" s="17" t="s">
        <v>29</v>
      </c>
      <c r="C154" s="28" t="s">
        <v>45</v>
      </c>
      <c r="D154" s="1">
        <f>50000-43847.47</f>
        <v>6152.5299999999988</v>
      </c>
      <c r="E154" s="1"/>
      <c r="F154" s="1">
        <v>6152.53</v>
      </c>
      <c r="G154" s="2">
        <f t="shared" si="20"/>
        <v>100</v>
      </c>
      <c r="H154" s="42">
        <f t="shared" si="21"/>
        <v>0</v>
      </c>
    </row>
    <row r="155" spans="1:8" s="39" customFormat="1" hidden="1" x14ac:dyDescent="0.25">
      <c r="A155" s="41" t="s">
        <v>24</v>
      </c>
      <c r="B155" s="17" t="s">
        <v>31</v>
      </c>
      <c r="C155" s="28" t="s">
        <v>45</v>
      </c>
      <c r="D155" s="1">
        <f>30000-30000</f>
        <v>0</v>
      </c>
      <c r="E155" s="1"/>
      <c r="F155" s="1"/>
      <c r="G155" s="2" t="e">
        <f t="shared" si="20"/>
        <v>#DIV/0!</v>
      </c>
      <c r="H155" s="42">
        <f t="shared" si="21"/>
        <v>0</v>
      </c>
    </row>
    <row r="156" spans="1:8" s="39" customFormat="1" x14ac:dyDescent="0.25">
      <c r="A156" s="41" t="s">
        <v>18</v>
      </c>
      <c r="B156" s="17" t="s">
        <v>33</v>
      </c>
      <c r="C156" s="28" t="s">
        <v>45</v>
      </c>
      <c r="D156" s="1">
        <f>100000-20000</f>
        <v>80000</v>
      </c>
      <c r="E156" s="1"/>
      <c r="F156" s="1">
        <f>24000+45100</f>
        <v>69100</v>
      </c>
      <c r="G156" s="2">
        <f t="shared" si="20"/>
        <v>86.38</v>
      </c>
      <c r="H156" s="42">
        <f t="shared" si="21"/>
        <v>10900</v>
      </c>
    </row>
    <row r="157" spans="1:8" s="39" customFormat="1" x14ac:dyDescent="0.25">
      <c r="A157" s="44"/>
      <c r="B157" s="21" t="s">
        <v>35</v>
      </c>
      <c r="C157" s="28" t="s">
        <v>128</v>
      </c>
      <c r="D157" s="22">
        <f>SUM(D145:D156)</f>
        <v>524552.53</v>
      </c>
      <c r="E157" s="22">
        <f>SUM(E145:E156)</f>
        <v>0</v>
      </c>
      <c r="F157" s="22">
        <f>SUM(F145:F156)</f>
        <v>456852.53</v>
      </c>
      <c r="G157" s="3">
        <f t="shared" si="20"/>
        <v>87.09</v>
      </c>
      <c r="H157" s="45">
        <f>SUM(H145:H156)</f>
        <v>67700</v>
      </c>
    </row>
    <row r="158" spans="1:8" s="39" customFormat="1" ht="65.25" customHeight="1" x14ac:dyDescent="0.25">
      <c r="A158" s="46"/>
      <c r="B158" s="76" t="s">
        <v>83</v>
      </c>
      <c r="C158" s="73"/>
      <c r="D158" s="73"/>
      <c r="E158" s="73"/>
      <c r="F158" s="73"/>
      <c r="G158" s="73"/>
      <c r="H158" s="74"/>
    </row>
    <row r="159" spans="1:8" s="39" customFormat="1" x14ac:dyDescent="0.25">
      <c r="A159" s="41" t="s">
        <v>4</v>
      </c>
      <c r="B159" s="17" t="s">
        <v>11</v>
      </c>
      <c r="C159" s="28" t="s">
        <v>46</v>
      </c>
      <c r="D159" s="1">
        <v>300000</v>
      </c>
      <c r="E159" s="1"/>
      <c r="F159" s="1">
        <f>93000+98781+90000+18219</f>
        <v>300000</v>
      </c>
      <c r="G159" s="2">
        <f t="shared" ref="G159:G171" si="22">ROUND(F159/D159*100,2)</f>
        <v>100</v>
      </c>
      <c r="H159" s="42">
        <f t="shared" ref="H159:H170" si="23">D159-F159</f>
        <v>0</v>
      </c>
    </row>
    <row r="160" spans="1:8" s="39" customFormat="1" x14ac:dyDescent="0.25">
      <c r="A160" s="41" t="s">
        <v>6</v>
      </c>
      <c r="B160" s="17" t="s">
        <v>13</v>
      </c>
      <c r="C160" s="28" t="s">
        <v>46</v>
      </c>
      <c r="D160" s="1">
        <v>200000</v>
      </c>
      <c r="E160" s="1"/>
      <c r="F160" s="1">
        <f>200000</f>
        <v>200000</v>
      </c>
      <c r="G160" s="2">
        <f t="shared" si="22"/>
        <v>100</v>
      </c>
      <c r="H160" s="42">
        <f t="shared" si="23"/>
        <v>0</v>
      </c>
    </row>
    <row r="161" spans="1:8" s="39" customFormat="1" x14ac:dyDescent="0.25">
      <c r="A161" s="41" t="s">
        <v>8</v>
      </c>
      <c r="B161" s="17" t="s">
        <v>15</v>
      </c>
      <c r="C161" s="28" t="s">
        <v>46</v>
      </c>
      <c r="D161" s="1">
        <f>700000</f>
        <v>700000</v>
      </c>
      <c r="E161" s="1"/>
      <c r="F161" s="1">
        <f>150000+185000+100000+180756.64+83966.56</f>
        <v>699723.2</v>
      </c>
      <c r="G161" s="2">
        <f t="shared" si="22"/>
        <v>99.96</v>
      </c>
      <c r="H161" s="42">
        <f t="shared" si="23"/>
        <v>276.80000000004657</v>
      </c>
    </row>
    <row r="162" spans="1:8" s="39" customFormat="1" x14ac:dyDescent="0.25">
      <c r="A162" s="41" t="s">
        <v>10</v>
      </c>
      <c r="B162" s="17" t="s">
        <v>17</v>
      </c>
      <c r="C162" s="28" t="s">
        <v>46</v>
      </c>
      <c r="D162" s="1">
        <f>200000</f>
        <v>200000</v>
      </c>
      <c r="E162" s="1"/>
      <c r="F162" s="1">
        <f>200000-0.3</f>
        <v>199999.7</v>
      </c>
      <c r="G162" s="2">
        <f t="shared" si="22"/>
        <v>100</v>
      </c>
      <c r="H162" s="42">
        <f t="shared" si="23"/>
        <v>0.29999999998835847</v>
      </c>
    </row>
    <row r="163" spans="1:8" s="39" customFormat="1" x14ac:dyDescent="0.25">
      <c r="A163" s="41" t="s">
        <v>12</v>
      </c>
      <c r="B163" s="17" t="s">
        <v>19</v>
      </c>
      <c r="C163" s="28" t="s">
        <v>46</v>
      </c>
      <c r="D163" s="1">
        <v>200000</v>
      </c>
      <c r="E163" s="1"/>
      <c r="F163" s="1">
        <f>113000+72000+15000</f>
        <v>200000</v>
      </c>
      <c r="G163" s="2">
        <f t="shared" si="22"/>
        <v>100</v>
      </c>
      <c r="H163" s="42">
        <f t="shared" si="23"/>
        <v>0</v>
      </c>
    </row>
    <row r="164" spans="1:8" s="39" customFormat="1" x14ac:dyDescent="0.25">
      <c r="A164" s="41" t="s">
        <v>14</v>
      </c>
      <c r="B164" s="26" t="s">
        <v>21</v>
      </c>
      <c r="C164" s="28" t="s">
        <v>46</v>
      </c>
      <c r="D164" s="1">
        <v>200000</v>
      </c>
      <c r="E164" s="1"/>
      <c r="F164" s="1">
        <f>200000</f>
        <v>200000</v>
      </c>
      <c r="G164" s="2">
        <f t="shared" si="22"/>
        <v>100</v>
      </c>
      <c r="H164" s="42">
        <f t="shared" si="23"/>
        <v>0</v>
      </c>
    </row>
    <row r="165" spans="1:8" s="39" customFormat="1" x14ac:dyDescent="0.25">
      <c r="A165" s="41" t="s">
        <v>16</v>
      </c>
      <c r="B165" s="17" t="s">
        <v>23</v>
      </c>
      <c r="C165" s="28" t="s">
        <v>46</v>
      </c>
      <c r="D165" s="1">
        <v>700000</v>
      </c>
      <c r="E165" s="1"/>
      <c r="F165" s="1">
        <f>45000+100000+350000+48000+157000</f>
        <v>700000</v>
      </c>
      <c r="G165" s="2">
        <f t="shared" si="22"/>
        <v>100</v>
      </c>
      <c r="H165" s="42">
        <f t="shared" si="23"/>
        <v>0</v>
      </c>
    </row>
    <row r="166" spans="1:8" s="39" customFormat="1" x14ac:dyDescent="0.25">
      <c r="A166" s="41" t="s">
        <v>18</v>
      </c>
      <c r="B166" s="17" t="s">
        <v>25</v>
      </c>
      <c r="C166" s="28" t="s">
        <v>46</v>
      </c>
      <c r="D166" s="1">
        <v>300000</v>
      </c>
      <c r="E166" s="1"/>
      <c r="F166" s="1">
        <f>142500+70000+87500</f>
        <v>300000</v>
      </c>
      <c r="G166" s="2">
        <f t="shared" si="22"/>
        <v>100</v>
      </c>
      <c r="H166" s="42">
        <f t="shared" si="23"/>
        <v>0</v>
      </c>
    </row>
    <row r="167" spans="1:8" s="39" customFormat="1" x14ac:dyDescent="0.25">
      <c r="A167" s="41" t="s">
        <v>20</v>
      </c>
      <c r="B167" s="17" t="s">
        <v>27</v>
      </c>
      <c r="C167" s="28" t="s">
        <v>46</v>
      </c>
      <c r="D167" s="1">
        <f>500000-84381.6</f>
        <v>415618.4</v>
      </c>
      <c r="E167" s="1"/>
      <c r="F167" s="1">
        <f>70159.2+174459.2+171000</f>
        <v>415618.4</v>
      </c>
      <c r="G167" s="2">
        <f t="shared" si="22"/>
        <v>100</v>
      </c>
      <c r="H167" s="42">
        <f t="shared" si="23"/>
        <v>0</v>
      </c>
    </row>
    <row r="168" spans="1:8" s="39" customFormat="1" x14ac:dyDescent="0.25">
      <c r="A168" s="41" t="s">
        <v>22</v>
      </c>
      <c r="B168" s="17" t="s">
        <v>29</v>
      </c>
      <c r="C168" s="28" t="s">
        <v>46</v>
      </c>
      <c r="D168" s="1">
        <v>200000</v>
      </c>
      <c r="E168" s="1"/>
      <c r="F168" s="1">
        <f>45000+15000+90000+50000</f>
        <v>200000</v>
      </c>
      <c r="G168" s="2">
        <f t="shared" si="22"/>
        <v>100</v>
      </c>
      <c r="H168" s="42">
        <f t="shared" si="23"/>
        <v>0</v>
      </c>
    </row>
    <row r="169" spans="1:8" s="39" customFormat="1" x14ac:dyDescent="0.25">
      <c r="A169" s="41" t="s">
        <v>24</v>
      </c>
      <c r="B169" s="17" t="s">
        <v>31</v>
      </c>
      <c r="C169" s="28" t="s">
        <v>46</v>
      </c>
      <c r="D169" s="1">
        <v>300000</v>
      </c>
      <c r="E169" s="1"/>
      <c r="F169" s="1">
        <f>77700+74100+74100+74100</f>
        <v>300000</v>
      </c>
      <c r="G169" s="2">
        <f t="shared" si="22"/>
        <v>100</v>
      </c>
      <c r="H169" s="42">
        <f t="shared" si="23"/>
        <v>0</v>
      </c>
    </row>
    <row r="170" spans="1:8" s="39" customFormat="1" x14ac:dyDescent="0.25">
      <c r="A170" s="41" t="s">
        <v>26</v>
      </c>
      <c r="B170" s="17" t="s">
        <v>33</v>
      </c>
      <c r="C170" s="28" t="s">
        <v>46</v>
      </c>
      <c r="D170" s="1">
        <v>300000</v>
      </c>
      <c r="E170" s="1"/>
      <c r="F170" s="1">
        <f>63000+57800+179200</f>
        <v>300000</v>
      </c>
      <c r="G170" s="2">
        <f t="shared" si="22"/>
        <v>100</v>
      </c>
      <c r="H170" s="42">
        <f t="shared" si="23"/>
        <v>0</v>
      </c>
    </row>
    <row r="171" spans="1:8" s="39" customFormat="1" x14ac:dyDescent="0.25">
      <c r="A171" s="44"/>
      <c r="B171" s="21" t="s">
        <v>35</v>
      </c>
      <c r="C171" s="28" t="s">
        <v>129</v>
      </c>
      <c r="D171" s="22">
        <f>SUM(D159:D170)</f>
        <v>4015618.4</v>
      </c>
      <c r="E171" s="22">
        <f>SUM(E159:E170)</f>
        <v>0</v>
      </c>
      <c r="F171" s="22">
        <f>SUM(F159:F170)</f>
        <v>4015341.3</v>
      </c>
      <c r="G171" s="3">
        <f t="shared" si="22"/>
        <v>99.99</v>
      </c>
      <c r="H171" s="45">
        <f>SUM(H159:H170)</f>
        <v>277.10000000003492</v>
      </c>
    </row>
    <row r="172" spans="1:8" s="39" customFormat="1" ht="51" customHeight="1" x14ac:dyDescent="0.25">
      <c r="A172" s="46"/>
      <c r="B172" s="76" t="s">
        <v>65</v>
      </c>
      <c r="C172" s="73"/>
      <c r="D172" s="73"/>
      <c r="E172" s="73"/>
      <c r="F172" s="73"/>
      <c r="G172" s="73"/>
      <c r="H172" s="74"/>
    </row>
    <row r="173" spans="1:8" s="39" customFormat="1" x14ac:dyDescent="0.25">
      <c r="A173" s="41" t="s">
        <v>4</v>
      </c>
      <c r="B173" s="17" t="s">
        <v>5</v>
      </c>
      <c r="C173" s="47" t="s">
        <v>47</v>
      </c>
      <c r="D173" s="24">
        <v>133639.57999999999</v>
      </c>
      <c r="E173" s="24"/>
      <c r="F173" s="24"/>
      <c r="G173" s="2">
        <f>ROUND(F173/D173*100,2)</f>
        <v>0</v>
      </c>
      <c r="H173" s="42">
        <f>D173-F173</f>
        <v>133639.57999999999</v>
      </c>
    </row>
    <row r="174" spans="1:8" s="39" customFormat="1" x14ac:dyDescent="0.25">
      <c r="A174" s="44"/>
      <c r="B174" s="21" t="s">
        <v>35</v>
      </c>
      <c r="C174" s="47" t="s">
        <v>130</v>
      </c>
      <c r="D174" s="22">
        <f>SUM(D173:D173)</f>
        <v>133639.57999999999</v>
      </c>
      <c r="E174" s="22">
        <f>SUM(E173:E173)</f>
        <v>0</v>
      </c>
      <c r="F174" s="22">
        <f>SUM(F173:F173)</f>
        <v>0</v>
      </c>
      <c r="G174" s="3">
        <f>ROUND(F174/D174*100,2)</f>
        <v>0</v>
      </c>
      <c r="H174" s="45">
        <f>SUM(H173:H173)</f>
        <v>133639.57999999999</v>
      </c>
    </row>
    <row r="175" spans="1:8" s="39" customFormat="1" ht="48" customHeight="1" x14ac:dyDescent="0.25">
      <c r="A175" s="46"/>
      <c r="B175" s="76" t="s">
        <v>84</v>
      </c>
      <c r="C175" s="73"/>
      <c r="D175" s="73"/>
      <c r="E175" s="73"/>
      <c r="F175" s="73"/>
      <c r="G175" s="73"/>
      <c r="H175" s="74"/>
    </row>
    <row r="176" spans="1:8" s="39" customFormat="1" x14ac:dyDescent="0.25">
      <c r="A176" s="41" t="s">
        <v>4</v>
      </c>
      <c r="B176" s="17" t="s">
        <v>11</v>
      </c>
      <c r="C176" s="28" t="s">
        <v>48</v>
      </c>
      <c r="D176" s="1">
        <v>1000</v>
      </c>
      <c r="E176" s="1"/>
      <c r="F176" s="1"/>
      <c r="G176" s="2">
        <v>0</v>
      </c>
      <c r="H176" s="42">
        <f t="shared" ref="H176:H187" si="24">D176-F176</f>
        <v>1000</v>
      </c>
    </row>
    <row r="177" spans="1:8" s="39" customFormat="1" x14ac:dyDescent="0.25">
      <c r="A177" s="41" t="s">
        <v>6</v>
      </c>
      <c r="B177" s="17" t="s">
        <v>13</v>
      </c>
      <c r="C177" s="28" t="s">
        <v>48</v>
      </c>
      <c r="D177" s="1">
        <v>300000</v>
      </c>
      <c r="E177" s="1"/>
      <c r="F177" s="1">
        <f>100000+30000+169999.99</f>
        <v>299999.99</v>
      </c>
      <c r="G177" s="2">
        <f t="shared" ref="G177:G188" si="25">ROUND(F177/D177*100,2)</f>
        <v>100</v>
      </c>
      <c r="H177" s="42">
        <f t="shared" si="24"/>
        <v>1.0000000009313226E-2</v>
      </c>
    </row>
    <row r="178" spans="1:8" s="39" customFormat="1" x14ac:dyDescent="0.25">
      <c r="A178" s="41" t="s">
        <v>8</v>
      </c>
      <c r="B178" s="17" t="s">
        <v>15</v>
      </c>
      <c r="C178" s="28" t="s">
        <v>48</v>
      </c>
      <c r="D178" s="1">
        <v>300000</v>
      </c>
      <c r="E178" s="1"/>
      <c r="F178" s="1">
        <f>50000+30000+30000+166800+11741.46</f>
        <v>288541.46000000002</v>
      </c>
      <c r="G178" s="2">
        <f t="shared" si="25"/>
        <v>96.18</v>
      </c>
      <c r="H178" s="42">
        <f t="shared" si="24"/>
        <v>11458.539999999979</v>
      </c>
    </row>
    <row r="179" spans="1:8" s="39" customFormat="1" x14ac:dyDescent="0.25">
      <c r="A179" s="41" t="s">
        <v>10</v>
      </c>
      <c r="B179" s="17" t="s">
        <v>17</v>
      </c>
      <c r="C179" s="28" t="s">
        <v>48</v>
      </c>
      <c r="D179" s="1">
        <v>100000</v>
      </c>
      <c r="E179" s="1"/>
      <c r="F179" s="1">
        <f>100000</f>
        <v>100000</v>
      </c>
      <c r="G179" s="2">
        <f t="shared" si="25"/>
        <v>100</v>
      </c>
      <c r="H179" s="42">
        <f t="shared" si="24"/>
        <v>0</v>
      </c>
    </row>
    <row r="180" spans="1:8" s="39" customFormat="1" x14ac:dyDescent="0.25">
      <c r="A180" s="41" t="s">
        <v>12</v>
      </c>
      <c r="B180" s="17" t="s">
        <v>19</v>
      </c>
      <c r="C180" s="28" t="s">
        <v>48</v>
      </c>
      <c r="D180" s="1">
        <v>200000</v>
      </c>
      <c r="E180" s="1"/>
      <c r="F180" s="1">
        <f>130000+35000+35000</f>
        <v>200000</v>
      </c>
      <c r="G180" s="2">
        <f t="shared" si="25"/>
        <v>100</v>
      </c>
      <c r="H180" s="42">
        <f t="shared" si="24"/>
        <v>0</v>
      </c>
    </row>
    <row r="181" spans="1:8" s="39" customFormat="1" x14ac:dyDescent="0.25">
      <c r="A181" s="41" t="s">
        <v>14</v>
      </c>
      <c r="B181" s="26" t="s">
        <v>21</v>
      </c>
      <c r="C181" s="28" t="s">
        <v>48</v>
      </c>
      <c r="D181" s="1">
        <f>250000-19260</f>
        <v>230740</v>
      </c>
      <c r="E181" s="1"/>
      <c r="F181" s="1">
        <f>230740</f>
        <v>230740</v>
      </c>
      <c r="G181" s="2">
        <f t="shared" si="25"/>
        <v>100</v>
      </c>
      <c r="H181" s="42">
        <f t="shared" si="24"/>
        <v>0</v>
      </c>
    </row>
    <row r="182" spans="1:8" s="39" customFormat="1" x14ac:dyDescent="0.25">
      <c r="A182" s="41" t="s">
        <v>16</v>
      </c>
      <c r="B182" s="17" t="s">
        <v>23</v>
      </c>
      <c r="C182" s="28" t="s">
        <v>48</v>
      </c>
      <c r="D182" s="1">
        <v>300000</v>
      </c>
      <c r="E182" s="1"/>
      <c r="F182" s="1">
        <f>45000+168561.6+81953.15</f>
        <v>295514.75</v>
      </c>
      <c r="G182" s="2">
        <f t="shared" si="25"/>
        <v>98.5</v>
      </c>
      <c r="H182" s="42">
        <f t="shared" si="24"/>
        <v>4485.25</v>
      </c>
    </row>
    <row r="183" spans="1:8" s="39" customFormat="1" x14ac:dyDescent="0.25">
      <c r="A183" s="41" t="s">
        <v>18</v>
      </c>
      <c r="B183" s="17" t="s">
        <v>25</v>
      </c>
      <c r="C183" s="28" t="s">
        <v>48</v>
      </c>
      <c r="D183" s="1">
        <f>300000-66200</f>
        <v>233800</v>
      </c>
      <c r="E183" s="1"/>
      <c r="F183" s="1">
        <f>70000+79800+84000</f>
        <v>233800</v>
      </c>
      <c r="G183" s="2">
        <f t="shared" si="25"/>
        <v>100</v>
      </c>
      <c r="H183" s="42">
        <f t="shared" si="24"/>
        <v>0</v>
      </c>
    </row>
    <row r="184" spans="1:8" s="39" customFormat="1" x14ac:dyDescent="0.25">
      <c r="A184" s="41" t="s">
        <v>20</v>
      </c>
      <c r="B184" s="17" t="s">
        <v>27</v>
      </c>
      <c r="C184" s="28" t="s">
        <v>48</v>
      </c>
      <c r="D184" s="1">
        <f>200000-100000</f>
        <v>100000</v>
      </c>
      <c r="E184" s="1"/>
      <c r="F184" s="1">
        <f>100000</f>
        <v>100000</v>
      </c>
      <c r="G184" s="2">
        <f t="shared" si="25"/>
        <v>100</v>
      </c>
      <c r="H184" s="42">
        <f t="shared" si="24"/>
        <v>0</v>
      </c>
    </row>
    <row r="185" spans="1:8" s="39" customFormat="1" x14ac:dyDescent="0.25">
      <c r="A185" s="41" t="s">
        <v>22</v>
      </c>
      <c r="B185" s="17" t="s">
        <v>29</v>
      </c>
      <c r="C185" s="28" t="s">
        <v>48</v>
      </c>
      <c r="D185" s="1">
        <v>200000</v>
      </c>
      <c r="E185" s="1"/>
      <c r="F185" s="1">
        <f>15000+90000+19500+75500</f>
        <v>200000</v>
      </c>
      <c r="G185" s="2">
        <f t="shared" si="25"/>
        <v>100</v>
      </c>
      <c r="H185" s="42">
        <f t="shared" si="24"/>
        <v>0</v>
      </c>
    </row>
    <row r="186" spans="1:8" s="39" customFormat="1" x14ac:dyDescent="0.25">
      <c r="A186" s="41" t="s">
        <v>24</v>
      </c>
      <c r="B186" s="17" t="s">
        <v>31</v>
      </c>
      <c r="C186" s="28" t="s">
        <v>48</v>
      </c>
      <c r="D186" s="1">
        <f>200000-113320</f>
        <v>86680</v>
      </c>
      <c r="E186" s="1"/>
      <c r="F186" s="1">
        <f>86680</f>
        <v>86680</v>
      </c>
      <c r="G186" s="2">
        <f t="shared" si="25"/>
        <v>100</v>
      </c>
      <c r="H186" s="42">
        <f t="shared" si="24"/>
        <v>0</v>
      </c>
    </row>
    <row r="187" spans="1:8" s="39" customFormat="1" x14ac:dyDescent="0.25">
      <c r="A187" s="41" t="s">
        <v>26</v>
      </c>
      <c r="B187" s="17" t="s">
        <v>33</v>
      </c>
      <c r="C187" s="28" t="s">
        <v>48</v>
      </c>
      <c r="D187" s="1">
        <v>200000</v>
      </c>
      <c r="E187" s="1"/>
      <c r="F187" s="1">
        <f>195000+1200</f>
        <v>196200</v>
      </c>
      <c r="G187" s="2">
        <f t="shared" si="25"/>
        <v>98.1</v>
      </c>
      <c r="H187" s="42">
        <f t="shared" si="24"/>
        <v>3800</v>
      </c>
    </row>
    <row r="188" spans="1:8" s="39" customFormat="1" x14ac:dyDescent="0.25">
      <c r="A188" s="44"/>
      <c r="B188" s="21" t="s">
        <v>35</v>
      </c>
      <c r="C188" s="28" t="s">
        <v>131</v>
      </c>
      <c r="D188" s="22">
        <f>SUM(D176:D187)</f>
        <v>2252220</v>
      </c>
      <c r="E188" s="22">
        <f>SUM(E176:E187)</f>
        <v>0</v>
      </c>
      <c r="F188" s="22">
        <f>SUM(F176:F187)</f>
        <v>2231476.2000000002</v>
      </c>
      <c r="G188" s="3">
        <f t="shared" si="25"/>
        <v>99.08</v>
      </c>
      <c r="H188" s="45">
        <f>SUM(H176:H187)</f>
        <v>20743.799999999988</v>
      </c>
    </row>
    <row r="189" spans="1:8" s="39" customFormat="1" ht="60.75" hidden="1" customHeight="1" x14ac:dyDescent="0.25">
      <c r="A189" s="46"/>
      <c r="B189" s="66" t="s">
        <v>66</v>
      </c>
      <c r="C189" s="85"/>
      <c r="D189" s="85"/>
      <c r="E189" s="85"/>
      <c r="F189" s="85"/>
      <c r="G189" s="85"/>
      <c r="H189" s="86"/>
    </row>
    <row r="190" spans="1:8" s="39" customFormat="1" ht="15.6" hidden="1" customHeight="1" x14ac:dyDescent="0.25">
      <c r="A190" s="41" t="s">
        <v>4</v>
      </c>
      <c r="B190" s="17" t="s">
        <v>5</v>
      </c>
      <c r="C190" s="43"/>
      <c r="D190" s="1"/>
      <c r="E190" s="1"/>
      <c r="F190" s="1"/>
      <c r="G190" s="2" t="e">
        <f>ROUND(F190/D190*100,2)</f>
        <v>#DIV/0!</v>
      </c>
      <c r="H190" s="42">
        <f>D190-F190</f>
        <v>0</v>
      </c>
    </row>
    <row r="191" spans="1:8" s="39" customFormat="1" ht="15.6" hidden="1" customHeight="1" x14ac:dyDescent="0.25">
      <c r="A191" s="41" t="s">
        <v>6</v>
      </c>
      <c r="B191" s="17" t="s">
        <v>7</v>
      </c>
      <c r="C191" s="28"/>
      <c r="D191" s="1"/>
      <c r="E191" s="1"/>
      <c r="F191" s="1"/>
      <c r="G191" s="2" t="e">
        <f>ROUND(F191/D191*100,2)</f>
        <v>#DIV/0!</v>
      </c>
      <c r="H191" s="42">
        <f>D191-F191</f>
        <v>0</v>
      </c>
    </row>
    <row r="192" spans="1:8" s="39" customFormat="1" ht="15.6" hidden="1" customHeight="1" x14ac:dyDescent="0.25">
      <c r="A192" s="41" t="s">
        <v>8</v>
      </c>
      <c r="B192" s="17" t="s">
        <v>9</v>
      </c>
      <c r="C192" s="28"/>
      <c r="D192" s="1"/>
      <c r="E192" s="1"/>
      <c r="F192" s="1"/>
      <c r="G192" s="2" t="e">
        <f>ROUND(F192/D192*100,2)</f>
        <v>#DIV/0!</v>
      </c>
      <c r="H192" s="42">
        <f>D192-F192</f>
        <v>0</v>
      </c>
    </row>
    <row r="193" spans="1:8" s="39" customFormat="1" ht="15.6" hidden="1" customHeight="1" x14ac:dyDescent="0.25">
      <c r="A193" s="44"/>
      <c r="B193" s="21" t="s">
        <v>35</v>
      </c>
      <c r="C193" s="28"/>
      <c r="D193" s="22">
        <f>SUM(D190:D192)</f>
        <v>0</v>
      </c>
      <c r="E193" s="22">
        <f>SUM(E190:E192)</f>
        <v>0</v>
      </c>
      <c r="F193" s="22">
        <f>SUM(F190:F192)</f>
        <v>0</v>
      </c>
      <c r="G193" s="3" t="e">
        <f>ROUND(F193/D193*100,2)</f>
        <v>#DIV/0!</v>
      </c>
      <c r="H193" s="45">
        <f>SUM(H190:H192)</f>
        <v>0</v>
      </c>
    </row>
    <row r="194" spans="1:8" s="39" customFormat="1" ht="48.75" customHeight="1" x14ac:dyDescent="0.25">
      <c r="A194" s="46"/>
      <c r="B194" s="87" t="s">
        <v>67</v>
      </c>
      <c r="C194" s="70"/>
      <c r="D194" s="70"/>
      <c r="E194" s="70"/>
      <c r="F194" s="70"/>
      <c r="G194" s="70"/>
      <c r="H194" s="71"/>
    </row>
    <row r="195" spans="1:8" s="39" customFormat="1" x14ac:dyDescent="0.25">
      <c r="A195" s="41" t="s">
        <v>4</v>
      </c>
      <c r="B195" s="17" t="s">
        <v>11</v>
      </c>
      <c r="C195" s="28" t="s">
        <v>49</v>
      </c>
      <c r="D195" s="1">
        <v>1000</v>
      </c>
      <c r="E195" s="1"/>
      <c r="F195" s="1"/>
      <c r="G195" s="2">
        <f t="shared" ref="G195:G207" si="26">ROUND(F195/D195*100,2)</f>
        <v>0</v>
      </c>
      <c r="H195" s="42">
        <f t="shared" ref="H195:H206" si="27">D195-F195</f>
        <v>1000</v>
      </c>
    </row>
    <row r="196" spans="1:8" s="39" customFormat="1" x14ac:dyDescent="0.25">
      <c r="A196" s="41" t="s">
        <v>6</v>
      </c>
      <c r="B196" s="17" t="s">
        <v>13</v>
      </c>
      <c r="C196" s="28" t="s">
        <v>49</v>
      </c>
      <c r="D196" s="1">
        <v>1000</v>
      </c>
      <c r="E196" s="1"/>
      <c r="F196" s="1"/>
      <c r="G196" s="2">
        <f t="shared" si="26"/>
        <v>0</v>
      </c>
      <c r="H196" s="42">
        <f t="shared" si="27"/>
        <v>1000</v>
      </c>
    </row>
    <row r="197" spans="1:8" s="39" customFormat="1" x14ac:dyDescent="0.25">
      <c r="A197" s="41" t="s">
        <v>8</v>
      </c>
      <c r="B197" s="17" t="s">
        <v>15</v>
      </c>
      <c r="C197" s="28" t="s">
        <v>49</v>
      </c>
      <c r="D197" s="1">
        <v>1000</v>
      </c>
      <c r="E197" s="1"/>
      <c r="F197" s="1"/>
      <c r="G197" s="2">
        <f t="shared" si="26"/>
        <v>0</v>
      </c>
      <c r="H197" s="42">
        <f t="shared" si="27"/>
        <v>1000</v>
      </c>
    </row>
    <row r="198" spans="1:8" s="39" customFormat="1" x14ac:dyDescent="0.25">
      <c r="A198" s="41" t="s">
        <v>10</v>
      </c>
      <c r="B198" s="17" t="s">
        <v>17</v>
      </c>
      <c r="C198" s="28" t="s">
        <v>49</v>
      </c>
      <c r="D198" s="1">
        <v>1000</v>
      </c>
      <c r="E198" s="1"/>
      <c r="F198" s="1"/>
      <c r="G198" s="2">
        <f t="shared" si="26"/>
        <v>0</v>
      </c>
      <c r="H198" s="42">
        <f t="shared" si="27"/>
        <v>1000</v>
      </c>
    </row>
    <row r="199" spans="1:8" s="39" customFormat="1" x14ac:dyDescent="0.25">
      <c r="A199" s="41" t="s">
        <v>12</v>
      </c>
      <c r="B199" s="17" t="s">
        <v>19</v>
      </c>
      <c r="C199" s="28" t="s">
        <v>49</v>
      </c>
      <c r="D199" s="1">
        <v>1000</v>
      </c>
      <c r="E199" s="1"/>
      <c r="F199" s="1">
        <f>1000</f>
        <v>1000</v>
      </c>
      <c r="G199" s="2">
        <f t="shared" si="26"/>
        <v>100</v>
      </c>
      <c r="H199" s="42">
        <f t="shared" si="27"/>
        <v>0</v>
      </c>
    </row>
    <row r="200" spans="1:8" s="39" customFormat="1" hidden="1" x14ac:dyDescent="0.25">
      <c r="A200" s="41" t="s">
        <v>14</v>
      </c>
      <c r="B200" s="26" t="s">
        <v>21</v>
      </c>
      <c r="C200" s="28" t="s">
        <v>49</v>
      </c>
      <c r="D200" s="1">
        <f>1000-1000</f>
        <v>0</v>
      </c>
      <c r="E200" s="1"/>
      <c r="F200" s="1"/>
      <c r="G200" s="2" t="e">
        <f t="shared" si="26"/>
        <v>#DIV/0!</v>
      </c>
      <c r="H200" s="42">
        <f t="shared" si="27"/>
        <v>0</v>
      </c>
    </row>
    <row r="201" spans="1:8" s="39" customFormat="1" x14ac:dyDescent="0.25">
      <c r="A201" s="41" t="s">
        <v>14</v>
      </c>
      <c r="B201" s="17" t="s">
        <v>23</v>
      </c>
      <c r="C201" s="28" t="s">
        <v>49</v>
      </c>
      <c r="D201" s="1">
        <v>1000</v>
      </c>
      <c r="E201" s="1"/>
      <c r="F201" s="1"/>
      <c r="G201" s="2">
        <f t="shared" si="26"/>
        <v>0</v>
      </c>
      <c r="H201" s="42">
        <f t="shared" si="27"/>
        <v>1000</v>
      </c>
    </row>
    <row r="202" spans="1:8" s="39" customFormat="1" hidden="1" x14ac:dyDescent="0.25">
      <c r="A202" s="41" t="s">
        <v>18</v>
      </c>
      <c r="B202" s="17" t="s">
        <v>25</v>
      </c>
      <c r="C202" s="28" t="s">
        <v>49</v>
      </c>
      <c r="D202" s="1">
        <f>5000-5000</f>
        <v>0</v>
      </c>
      <c r="E202" s="1"/>
      <c r="F202" s="1"/>
      <c r="G202" s="2" t="e">
        <f t="shared" si="26"/>
        <v>#DIV/0!</v>
      </c>
      <c r="H202" s="42">
        <f t="shared" si="27"/>
        <v>0</v>
      </c>
    </row>
    <row r="203" spans="1:8" s="39" customFormat="1" x14ac:dyDescent="0.25">
      <c r="A203" s="41" t="s">
        <v>16</v>
      </c>
      <c r="B203" s="17" t="s">
        <v>27</v>
      </c>
      <c r="C203" s="28" t="s">
        <v>49</v>
      </c>
      <c r="D203" s="1">
        <v>1000</v>
      </c>
      <c r="E203" s="1"/>
      <c r="F203" s="1"/>
      <c r="G203" s="2">
        <f t="shared" si="26"/>
        <v>0</v>
      </c>
      <c r="H203" s="42">
        <f t="shared" si="27"/>
        <v>1000</v>
      </c>
    </row>
    <row r="204" spans="1:8" s="39" customFormat="1" hidden="1" x14ac:dyDescent="0.25">
      <c r="A204" s="41" t="s">
        <v>22</v>
      </c>
      <c r="B204" s="17" t="s">
        <v>29</v>
      </c>
      <c r="C204" s="28" t="s">
        <v>49</v>
      </c>
      <c r="D204" s="1">
        <f>1000-1000</f>
        <v>0</v>
      </c>
      <c r="E204" s="1"/>
      <c r="F204" s="1"/>
      <c r="G204" s="2" t="e">
        <f t="shared" si="26"/>
        <v>#DIV/0!</v>
      </c>
      <c r="H204" s="42">
        <f t="shared" si="27"/>
        <v>0</v>
      </c>
    </row>
    <row r="205" spans="1:8" s="39" customFormat="1" hidden="1" x14ac:dyDescent="0.25">
      <c r="A205" s="41" t="s">
        <v>24</v>
      </c>
      <c r="B205" s="17" t="s">
        <v>31</v>
      </c>
      <c r="C205" s="28" t="s">
        <v>49</v>
      </c>
      <c r="D205" s="1">
        <f>10000-10000</f>
        <v>0</v>
      </c>
      <c r="E205" s="1"/>
      <c r="F205" s="1"/>
      <c r="G205" s="2" t="e">
        <f t="shared" si="26"/>
        <v>#DIV/0!</v>
      </c>
      <c r="H205" s="42">
        <f t="shared" si="27"/>
        <v>0</v>
      </c>
    </row>
    <row r="206" spans="1:8" s="39" customFormat="1" x14ac:dyDescent="0.25">
      <c r="A206" s="41" t="s">
        <v>18</v>
      </c>
      <c r="B206" s="17" t="s">
        <v>33</v>
      </c>
      <c r="C206" s="28" t="s">
        <v>49</v>
      </c>
      <c r="D206" s="1">
        <v>1000</v>
      </c>
      <c r="E206" s="1"/>
      <c r="F206" s="1"/>
      <c r="G206" s="2">
        <f t="shared" si="26"/>
        <v>0</v>
      </c>
      <c r="H206" s="42">
        <f t="shared" si="27"/>
        <v>1000</v>
      </c>
    </row>
    <row r="207" spans="1:8" s="39" customFormat="1" x14ac:dyDescent="0.25">
      <c r="A207" s="44"/>
      <c r="B207" s="21" t="s">
        <v>35</v>
      </c>
      <c r="C207" s="28" t="s">
        <v>132</v>
      </c>
      <c r="D207" s="22">
        <f>SUM(D195:D206)</f>
        <v>8000</v>
      </c>
      <c r="E207" s="22">
        <f>SUM(E195:E206)</f>
        <v>0</v>
      </c>
      <c r="F207" s="22">
        <f>SUM(F195:F206)</f>
        <v>1000</v>
      </c>
      <c r="G207" s="2">
        <f t="shared" si="26"/>
        <v>12.5</v>
      </c>
      <c r="H207" s="45">
        <f>SUM(H195:H206)</f>
        <v>7000</v>
      </c>
    </row>
    <row r="208" spans="1:8" s="39" customFormat="1" ht="33" customHeight="1" x14ac:dyDescent="0.25">
      <c r="A208" s="46"/>
      <c r="B208" s="65" t="s">
        <v>85</v>
      </c>
      <c r="C208" s="73"/>
      <c r="D208" s="73"/>
      <c r="E208" s="73"/>
      <c r="F208" s="73"/>
      <c r="G208" s="73"/>
      <c r="H208" s="74"/>
    </row>
    <row r="209" spans="1:8" s="39" customFormat="1" x14ac:dyDescent="0.25">
      <c r="A209" s="41" t="s">
        <v>4</v>
      </c>
      <c r="B209" s="17" t="s">
        <v>7</v>
      </c>
      <c r="C209" s="28" t="s">
        <v>36</v>
      </c>
      <c r="D209" s="27">
        <f>327000-27250</f>
        <v>299750</v>
      </c>
      <c r="E209" s="27"/>
      <c r="F209" s="27">
        <f>54983.73+54983.73+54392.5+54392.5+80997.54</f>
        <v>299750</v>
      </c>
      <c r="G209" s="2">
        <f>ROUND(F209/D209*100,2)</f>
        <v>100</v>
      </c>
      <c r="H209" s="42">
        <f>D209-F209</f>
        <v>0</v>
      </c>
    </row>
    <row r="210" spans="1:8" s="39" customFormat="1" x14ac:dyDescent="0.25">
      <c r="A210" s="41" t="s">
        <v>6</v>
      </c>
      <c r="B210" s="17" t="s">
        <v>11</v>
      </c>
      <c r="C210" s="28" t="s">
        <v>88</v>
      </c>
      <c r="D210" s="27">
        <f>200000</f>
        <v>200000</v>
      </c>
      <c r="E210" s="27"/>
      <c r="F210" s="27">
        <f>172950</f>
        <v>172950</v>
      </c>
      <c r="G210" s="2">
        <f>ROUND(F210/D210*100,2)</f>
        <v>86.48</v>
      </c>
      <c r="H210" s="42">
        <f>D210-F210</f>
        <v>27050</v>
      </c>
    </row>
    <row r="211" spans="1:8" s="39" customFormat="1" x14ac:dyDescent="0.25">
      <c r="A211" s="46"/>
      <c r="B211" s="21" t="s">
        <v>35</v>
      </c>
      <c r="C211" s="28" t="s">
        <v>133</v>
      </c>
      <c r="D211" s="29">
        <f>SUM(D209:D210)</f>
        <v>499750</v>
      </c>
      <c r="E211" s="29">
        <f>SUM(E209:E209)</f>
        <v>0</v>
      </c>
      <c r="F211" s="29">
        <f>SUM(F209:F210)</f>
        <v>472700</v>
      </c>
      <c r="G211" s="3">
        <f>ROUND(F211/D211*100,2)</f>
        <v>94.59</v>
      </c>
      <c r="H211" s="49">
        <f>SUM(H209:H210)</f>
        <v>27050</v>
      </c>
    </row>
    <row r="212" spans="1:8" s="39" customFormat="1" ht="47.25" hidden="1" customHeight="1" x14ac:dyDescent="0.25">
      <c r="A212" s="46"/>
      <c r="B212" s="65" t="s">
        <v>108</v>
      </c>
      <c r="C212" s="63"/>
      <c r="D212" s="63"/>
      <c r="E212" s="63"/>
      <c r="F212" s="63"/>
      <c r="G212" s="63"/>
      <c r="H212" s="64"/>
    </row>
    <row r="213" spans="1:8" s="39" customFormat="1" ht="15.75" hidden="1" customHeight="1" x14ac:dyDescent="0.25">
      <c r="A213" s="41" t="s">
        <v>4</v>
      </c>
      <c r="B213" s="17" t="s">
        <v>7</v>
      </c>
      <c r="C213" s="61" t="s">
        <v>36</v>
      </c>
      <c r="D213" s="24"/>
      <c r="E213" s="24"/>
      <c r="F213" s="24"/>
      <c r="G213" s="2" t="e">
        <f>ROUND(F213/D213*100,2)</f>
        <v>#DIV/0!</v>
      </c>
      <c r="H213" s="42">
        <f>D213-F213</f>
        <v>0</v>
      </c>
    </row>
    <row r="214" spans="1:8" s="39" customFormat="1" ht="15.75" hidden="1" customHeight="1" x14ac:dyDescent="0.25">
      <c r="A214" s="41" t="s">
        <v>6</v>
      </c>
      <c r="B214" s="17" t="s">
        <v>15</v>
      </c>
      <c r="C214" s="61" t="s">
        <v>88</v>
      </c>
      <c r="D214" s="24"/>
      <c r="E214" s="24"/>
      <c r="F214" s="24"/>
      <c r="G214" s="2" t="e">
        <f>ROUND(F214/D214*100,2)</f>
        <v>#DIV/0!</v>
      </c>
      <c r="H214" s="42">
        <f>D214-F214</f>
        <v>0</v>
      </c>
    </row>
    <row r="215" spans="1:8" s="39" customFormat="1" ht="15.75" hidden="1" customHeight="1" x14ac:dyDescent="0.25">
      <c r="A215" s="44"/>
      <c r="B215" s="30" t="s">
        <v>35</v>
      </c>
      <c r="C215" s="61" t="s">
        <v>134</v>
      </c>
      <c r="D215" s="31">
        <f>SUM(D213:D214)</f>
        <v>0</v>
      </c>
      <c r="E215" s="31">
        <f>SUM(E213:E214)</f>
        <v>0</v>
      </c>
      <c r="F215" s="31">
        <f>SUM(F213:F214)</f>
        <v>0</v>
      </c>
      <c r="G215" s="3" t="e">
        <f>ROUND(F215/D215*100,2)</f>
        <v>#DIV/0!</v>
      </c>
      <c r="H215" s="50">
        <f>SUM(H213:H214)</f>
        <v>0</v>
      </c>
    </row>
    <row r="216" spans="1:8" s="39" customFormat="1" ht="39.75" customHeight="1" x14ac:dyDescent="0.25">
      <c r="A216" s="44"/>
      <c r="B216" s="69" t="s">
        <v>161</v>
      </c>
      <c r="C216" s="70"/>
      <c r="D216" s="70"/>
      <c r="E216" s="70"/>
      <c r="F216" s="70"/>
      <c r="G216" s="70"/>
      <c r="H216" s="71"/>
    </row>
    <row r="217" spans="1:8" s="39" customFormat="1" x14ac:dyDescent="0.25">
      <c r="A217" s="41" t="s">
        <v>4</v>
      </c>
      <c r="B217" s="17" t="s">
        <v>58</v>
      </c>
      <c r="C217" s="28" t="s">
        <v>36</v>
      </c>
      <c r="D217" s="1">
        <f>600000-74628.96</f>
        <v>525371.04</v>
      </c>
      <c r="E217" s="1"/>
      <c r="F217" s="1">
        <v>525371.04</v>
      </c>
      <c r="G217" s="2">
        <f>ROUND(F217/D217*100,2)</f>
        <v>100</v>
      </c>
      <c r="H217" s="42">
        <f>D217-F217</f>
        <v>0</v>
      </c>
    </row>
    <row r="218" spans="1:8" s="39" customFormat="1" x14ac:dyDescent="0.25">
      <c r="A218" s="41" t="s">
        <v>6</v>
      </c>
      <c r="B218" s="32" t="s">
        <v>51</v>
      </c>
      <c r="C218" s="28" t="s">
        <v>87</v>
      </c>
      <c r="D218" s="1">
        <v>499561.39</v>
      </c>
      <c r="E218" s="1"/>
      <c r="F218" s="1">
        <f>410836.36</f>
        <v>410836.36</v>
      </c>
      <c r="G218" s="2">
        <f>ROUND(F218/D218*100,2)</f>
        <v>82.24</v>
      </c>
      <c r="H218" s="42">
        <f>D218-F218</f>
        <v>88725.030000000028</v>
      </c>
    </row>
    <row r="219" spans="1:8" s="39" customFormat="1" x14ac:dyDescent="0.25">
      <c r="A219" s="41" t="s">
        <v>8</v>
      </c>
      <c r="B219" s="17" t="s">
        <v>15</v>
      </c>
      <c r="C219" s="28" t="s">
        <v>87</v>
      </c>
      <c r="D219" s="1">
        <f>400000</f>
        <v>400000</v>
      </c>
      <c r="E219" s="1"/>
      <c r="F219" s="1">
        <f>400000</f>
        <v>400000</v>
      </c>
      <c r="G219" s="2">
        <f>ROUND(F219/D219*100,2)</f>
        <v>100</v>
      </c>
      <c r="H219" s="42">
        <f>D219-F219</f>
        <v>0</v>
      </c>
    </row>
    <row r="220" spans="1:8" s="39" customFormat="1" x14ac:dyDescent="0.25">
      <c r="A220" s="44"/>
      <c r="B220" s="21" t="s">
        <v>35</v>
      </c>
      <c r="C220" s="28" t="s">
        <v>135</v>
      </c>
      <c r="D220" s="22">
        <f>SUM(D217:D219)</f>
        <v>1424932.4300000002</v>
      </c>
      <c r="E220" s="22">
        <f>SUM(E217:E219)</f>
        <v>0</v>
      </c>
      <c r="F220" s="22">
        <f>SUM(F217:F219)</f>
        <v>1336207.3999999999</v>
      </c>
      <c r="G220" s="3">
        <f>ROUND(F220/D220*100,2)</f>
        <v>93.77</v>
      </c>
      <c r="H220" s="45">
        <f>SUM(H217:H219)</f>
        <v>88725.030000000028</v>
      </c>
    </row>
    <row r="221" spans="1:8" s="13" customFormat="1" ht="49.5" customHeight="1" x14ac:dyDescent="0.25">
      <c r="A221" s="44"/>
      <c r="B221" s="72" t="s">
        <v>162</v>
      </c>
      <c r="C221" s="73"/>
      <c r="D221" s="73"/>
      <c r="E221" s="73"/>
      <c r="F221" s="73"/>
      <c r="G221" s="73"/>
      <c r="H221" s="74"/>
    </row>
    <row r="222" spans="1:8" s="39" customFormat="1" x14ac:dyDescent="0.25">
      <c r="A222" s="41" t="s">
        <v>4</v>
      </c>
      <c r="B222" s="17" t="s">
        <v>58</v>
      </c>
      <c r="C222" s="28" t="s">
        <v>36</v>
      </c>
      <c r="D222" s="1">
        <f>349155-149155</f>
        <v>200000</v>
      </c>
      <c r="E222" s="1"/>
      <c r="F222" s="1">
        <v>200000</v>
      </c>
      <c r="G222" s="2">
        <f t="shared" ref="G222:G304" si="28">ROUND(F222/D222*100,2)</f>
        <v>100</v>
      </c>
      <c r="H222" s="42">
        <f>D222-F222</f>
        <v>0</v>
      </c>
    </row>
    <row r="223" spans="1:8" s="39" customFormat="1" x14ac:dyDescent="0.25">
      <c r="A223" s="41" t="s">
        <v>6</v>
      </c>
      <c r="B223" s="17" t="s">
        <v>11</v>
      </c>
      <c r="C223" s="28" t="s">
        <v>88</v>
      </c>
      <c r="D223" s="1">
        <f>79000</f>
        <v>79000</v>
      </c>
      <c r="E223" s="1"/>
      <c r="F223" s="1">
        <f>79000</f>
        <v>79000</v>
      </c>
      <c r="G223" s="2">
        <f t="shared" si="28"/>
        <v>100</v>
      </c>
      <c r="H223" s="42">
        <f>D223-F223</f>
        <v>0</v>
      </c>
    </row>
    <row r="224" spans="1:8" s="39" customFormat="1" x14ac:dyDescent="0.25">
      <c r="A224" s="41" t="s">
        <v>8</v>
      </c>
      <c r="B224" s="17" t="s">
        <v>13</v>
      </c>
      <c r="C224" s="28" t="s">
        <v>88</v>
      </c>
      <c r="D224" s="1">
        <f>478058.4-192272.65</f>
        <v>285785.75</v>
      </c>
      <c r="E224" s="1"/>
      <c r="F224" s="1">
        <f>285785.75</f>
        <v>285785.75</v>
      </c>
      <c r="G224" s="2">
        <f>ROUND(F224/D224*100,2)</f>
        <v>100</v>
      </c>
      <c r="H224" s="42">
        <f>D224-F224</f>
        <v>0</v>
      </c>
    </row>
    <row r="225" spans="1:8" s="39" customFormat="1" x14ac:dyDescent="0.25">
      <c r="A225" s="41" t="s">
        <v>10</v>
      </c>
      <c r="B225" s="33" t="s">
        <v>17</v>
      </c>
      <c r="C225" s="28" t="s">
        <v>88</v>
      </c>
      <c r="D225" s="1">
        <f>371567.34-46.93</f>
        <v>371520.41000000003</v>
      </c>
      <c r="E225" s="1"/>
      <c r="F225" s="1">
        <f>371520.41</f>
        <v>371520.41</v>
      </c>
      <c r="G225" s="2">
        <f>ROUND(F225/D225*100,2)</f>
        <v>100</v>
      </c>
      <c r="H225" s="42">
        <f>D225-F225</f>
        <v>0</v>
      </c>
    </row>
    <row r="226" spans="1:8" s="39" customFormat="1" ht="16.5" customHeight="1" x14ac:dyDescent="0.25">
      <c r="A226" s="41" t="s">
        <v>12</v>
      </c>
      <c r="B226" s="17" t="s">
        <v>27</v>
      </c>
      <c r="C226" s="28" t="s">
        <v>88</v>
      </c>
      <c r="D226" s="1">
        <f>173449.45+100000-19022.53-23420.32</f>
        <v>231006.6</v>
      </c>
      <c r="E226" s="1"/>
      <c r="F226" s="1">
        <f>80977.47+150029.13</f>
        <v>231006.6</v>
      </c>
      <c r="G226" s="2">
        <f>ROUND(F226/D226*100,2)</f>
        <v>100</v>
      </c>
      <c r="H226" s="42">
        <f>D226-F226</f>
        <v>0</v>
      </c>
    </row>
    <row r="227" spans="1:8" s="39" customFormat="1" x14ac:dyDescent="0.25">
      <c r="A227" s="51"/>
      <c r="B227" s="30" t="s">
        <v>35</v>
      </c>
      <c r="C227" s="28" t="s">
        <v>134</v>
      </c>
      <c r="D227" s="31">
        <f>SUM(D222:D226)</f>
        <v>1167312.76</v>
      </c>
      <c r="E227" s="31">
        <f>SUM(E222:E226)</f>
        <v>0</v>
      </c>
      <c r="F227" s="31">
        <f>SUM(F222:F226)</f>
        <v>1167312.76</v>
      </c>
      <c r="G227" s="3">
        <f t="shared" si="28"/>
        <v>100</v>
      </c>
      <c r="H227" s="50">
        <f>SUM(H222:H226)</f>
        <v>0</v>
      </c>
    </row>
    <row r="228" spans="1:8" s="39" customFormat="1" ht="47.25" customHeight="1" x14ac:dyDescent="0.25">
      <c r="A228" s="41"/>
      <c r="B228" s="65" t="s">
        <v>71</v>
      </c>
      <c r="C228" s="63"/>
      <c r="D228" s="63"/>
      <c r="E228" s="63"/>
      <c r="F228" s="63"/>
      <c r="G228" s="63"/>
      <c r="H228" s="64"/>
    </row>
    <row r="229" spans="1:8" s="39" customFormat="1" ht="16.899999999999999" customHeight="1" x14ac:dyDescent="0.25">
      <c r="A229" s="41" t="s">
        <v>4</v>
      </c>
      <c r="B229" s="33" t="s">
        <v>5</v>
      </c>
      <c r="C229" s="28" t="s">
        <v>88</v>
      </c>
      <c r="D229" s="1">
        <f>6576815.4</f>
        <v>6576815.4000000004</v>
      </c>
      <c r="E229" s="1"/>
      <c r="F229" s="1">
        <f>6576815.4</f>
        <v>6576815.4000000004</v>
      </c>
      <c r="G229" s="2">
        <f t="shared" si="28"/>
        <v>100</v>
      </c>
      <c r="H229" s="42">
        <f>D229-F229</f>
        <v>0</v>
      </c>
    </row>
    <row r="230" spans="1:8" s="39" customFormat="1" ht="16.899999999999999" hidden="1" customHeight="1" x14ac:dyDescent="0.25">
      <c r="A230" s="41" t="s">
        <v>6</v>
      </c>
      <c r="B230" s="26" t="s">
        <v>21</v>
      </c>
      <c r="C230" s="28" t="s">
        <v>88</v>
      </c>
      <c r="D230" s="1"/>
      <c r="E230" s="1"/>
      <c r="F230" s="1"/>
      <c r="G230" s="2" t="e">
        <f t="shared" si="28"/>
        <v>#DIV/0!</v>
      </c>
      <c r="H230" s="42">
        <f>D230-F230</f>
        <v>0</v>
      </c>
    </row>
    <row r="231" spans="1:8" s="39" customFormat="1" ht="15.6" customHeight="1" x14ac:dyDescent="0.25">
      <c r="A231" s="41"/>
      <c r="B231" s="21" t="s">
        <v>35</v>
      </c>
      <c r="C231" s="28" t="s">
        <v>86</v>
      </c>
      <c r="D231" s="22">
        <f>SUM(D229:D230)</f>
        <v>6576815.4000000004</v>
      </c>
      <c r="E231" s="22">
        <f>SUM(E229:E230)</f>
        <v>0</v>
      </c>
      <c r="F231" s="22">
        <f>SUM(F229:F230)</f>
        <v>6576815.4000000004</v>
      </c>
      <c r="G231" s="3">
        <f t="shared" si="28"/>
        <v>100</v>
      </c>
      <c r="H231" s="45">
        <f>SUM(H229:H230)</f>
        <v>0</v>
      </c>
    </row>
    <row r="232" spans="1:8" s="39" customFormat="1" ht="46.5" customHeight="1" x14ac:dyDescent="0.25">
      <c r="A232" s="46"/>
      <c r="B232" s="75" t="s">
        <v>68</v>
      </c>
      <c r="C232" s="63"/>
      <c r="D232" s="63"/>
      <c r="E232" s="63"/>
      <c r="F232" s="63"/>
      <c r="G232" s="63"/>
      <c r="H232" s="64"/>
    </row>
    <row r="233" spans="1:8" s="39" customFormat="1" ht="16.899999999999999" customHeight="1" x14ac:dyDescent="0.25">
      <c r="A233" s="41" t="s">
        <v>4</v>
      </c>
      <c r="B233" s="33" t="s">
        <v>5</v>
      </c>
      <c r="C233" s="28" t="s">
        <v>36</v>
      </c>
      <c r="D233" s="1">
        <f>1000000+2000000</f>
        <v>3000000</v>
      </c>
      <c r="E233" s="1"/>
      <c r="F233" s="1">
        <f>1000000+1794580.48</f>
        <v>2794580.48</v>
      </c>
      <c r="G233" s="2">
        <f t="shared" ref="G233:G246" si="29">ROUND(F233/D233*100,2)</f>
        <v>93.15</v>
      </c>
      <c r="H233" s="42">
        <f t="shared" ref="H233:H246" si="30">D233-F233</f>
        <v>205419.52000000002</v>
      </c>
    </row>
    <row r="234" spans="1:8" s="39" customFormat="1" ht="16.899999999999999" customHeight="1" x14ac:dyDescent="0.25">
      <c r="A234" s="41" t="s">
        <v>6</v>
      </c>
      <c r="B234" s="17" t="s">
        <v>7</v>
      </c>
      <c r="C234" s="28" t="s">
        <v>36</v>
      </c>
      <c r="D234" s="1">
        <f>500000</f>
        <v>500000</v>
      </c>
      <c r="E234" s="1"/>
      <c r="F234" s="1">
        <f>500000</f>
        <v>500000</v>
      </c>
      <c r="G234" s="2">
        <f t="shared" si="29"/>
        <v>100</v>
      </c>
      <c r="H234" s="42">
        <f t="shared" si="30"/>
        <v>0</v>
      </c>
    </row>
    <row r="235" spans="1:8" s="39" customFormat="1" ht="16.899999999999999" customHeight="1" x14ac:dyDescent="0.25">
      <c r="A235" s="41" t="s">
        <v>8</v>
      </c>
      <c r="B235" s="33" t="s">
        <v>9</v>
      </c>
      <c r="C235" s="28" t="s">
        <v>36</v>
      </c>
      <c r="D235" s="1">
        <f>50000+2146666.67+500000-216166.67</f>
        <v>2480500</v>
      </c>
      <c r="E235" s="1"/>
      <c r="F235" s="1">
        <f>50000+500000+1930500</f>
        <v>2480500</v>
      </c>
      <c r="G235" s="2">
        <f t="shared" si="29"/>
        <v>100</v>
      </c>
      <c r="H235" s="42">
        <f t="shared" si="30"/>
        <v>0</v>
      </c>
    </row>
    <row r="236" spans="1:8" s="39" customFormat="1" ht="16.899999999999999" customHeight="1" x14ac:dyDescent="0.25">
      <c r="A236" s="52" t="s">
        <v>10</v>
      </c>
      <c r="B236" s="33" t="s">
        <v>11</v>
      </c>
      <c r="C236" s="28" t="s">
        <v>88</v>
      </c>
      <c r="D236" s="1">
        <f>1200000+250000+604362.4+170200.75-1110156</f>
        <v>1114407.1499999999</v>
      </c>
      <c r="E236" s="1"/>
      <c r="F236" s="1">
        <f>250000+604362.4+170200.75+89844</f>
        <v>1114407.1499999999</v>
      </c>
      <c r="G236" s="2">
        <f t="shared" si="29"/>
        <v>100</v>
      </c>
      <c r="H236" s="42">
        <f t="shared" si="30"/>
        <v>0</v>
      </c>
    </row>
    <row r="237" spans="1:8" s="39" customFormat="1" ht="16.899999999999999" customHeight="1" x14ac:dyDescent="0.25">
      <c r="A237" s="52" t="s">
        <v>12</v>
      </c>
      <c r="B237" s="17" t="s">
        <v>13</v>
      </c>
      <c r="C237" s="28" t="s">
        <v>88</v>
      </c>
      <c r="D237" s="1">
        <v>200000</v>
      </c>
      <c r="E237" s="1"/>
      <c r="F237" s="1">
        <v>200000</v>
      </c>
      <c r="G237" s="2">
        <f>ROUND(F237/D237*100,2)</f>
        <v>100</v>
      </c>
      <c r="H237" s="42">
        <f>D237-F237</f>
        <v>0</v>
      </c>
    </row>
    <row r="238" spans="1:8" s="39" customFormat="1" ht="16.899999999999999" customHeight="1" x14ac:dyDescent="0.25">
      <c r="A238" s="52" t="s">
        <v>14</v>
      </c>
      <c r="B238" s="33" t="s">
        <v>15</v>
      </c>
      <c r="C238" s="28" t="s">
        <v>88</v>
      </c>
      <c r="D238" s="1">
        <f>700000+56000</f>
        <v>756000</v>
      </c>
      <c r="E238" s="1"/>
      <c r="F238" s="1">
        <f>216814.8+483185.2+56000</f>
        <v>756000</v>
      </c>
      <c r="G238" s="2">
        <f t="shared" si="29"/>
        <v>100</v>
      </c>
      <c r="H238" s="42">
        <f t="shared" si="30"/>
        <v>0</v>
      </c>
    </row>
    <row r="239" spans="1:8" s="39" customFormat="1" ht="16.899999999999999" customHeight="1" x14ac:dyDescent="0.25">
      <c r="A239" s="41" t="s">
        <v>16</v>
      </c>
      <c r="B239" s="33" t="s">
        <v>17</v>
      </c>
      <c r="C239" s="28" t="s">
        <v>88</v>
      </c>
      <c r="D239" s="1">
        <f>390000+649250.17+250000+1000000+200000</f>
        <v>2489250.17</v>
      </c>
      <c r="E239" s="1"/>
      <c r="F239" s="1">
        <f>649250.17+390000+250000+500000+100000+100000+36000+230000+148000+60570+25395</f>
        <v>2489215.17</v>
      </c>
      <c r="G239" s="2">
        <f>ROUND(F239/D239*100,2)</f>
        <v>100</v>
      </c>
      <c r="H239" s="42">
        <f>D239-F239</f>
        <v>35</v>
      </c>
    </row>
    <row r="240" spans="1:8" s="39" customFormat="1" ht="16.899999999999999" customHeight="1" x14ac:dyDescent="0.25">
      <c r="A240" s="52" t="s">
        <v>18</v>
      </c>
      <c r="B240" s="33" t="s">
        <v>19</v>
      </c>
      <c r="C240" s="28" t="s">
        <v>88</v>
      </c>
      <c r="D240" s="1">
        <f>200000</f>
        <v>200000</v>
      </c>
      <c r="E240" s="1"/>
      <c r="F240" s="1">
        <f>90000+110000</f>
        <v>200000</v>
      </c>
      <c r="G240" s="2">
        <f>ROUND(F240/D240*100,2)</f>
        <v>100</v>
      </c>
      <c r="H240" s="42">
        <f>D240-F240</f>
        <v>0</v>
      </c>
    </row>
    <row r="241" spans="1:8" s="39" customFormat="1" ht="16.899999999999999" customHeight="1" x14ac:dyDescent="0.25">
      <c r="A241" s="52" t="s">
        <v>20</v>
      </c>
      <c r="B241" s="26" t="s">
        <v>21</v>
      </c>
      <c r="C241" s="28" t="s">
        <v>88</v>
      </c>
      <c r="D241" s="1">
        <f>1359194+200000</f>
        <v>1559194</v>
      </c>
      <c r="E241" s="1"/>
      <c r="F241" s="1">
        <f>199276.38+1359194</f>
        <v>1558470.38</v>
      </c>
      <c r="G241" s="2">
        <f>ROUND(F241/D241*100,2)</f>
        <v>99.95</v>
      </c>
      <c r="H241" s="42">
        <f>D241-F241</f>
        <v>723.62000000011176</v>
      </c>
    </row>
    <row r="242" spans="1:8" s="39" customFormat="1" ht="16.899999999999999" customHeight="1" x14ac:dyDescent="0.25">
      <c r="A242" s="41" t="s">
        <v>22</v>
      </c>
      <c r="B242" s="33" t="s">
        <v>59</v>
      </c>
      <c r="C242" s="28" t="s">
        <v>88</v>
      </c>
      <c r="D242" s="1">
        <f>1575511.2+540000+1495000+213597.6+460497+5000000+2200000+393700+155284.75</f>
        <v>12033590.550000001</v>
      </c>
      <c r="E242" s="1"/>
      <c r="F242" s="1">
        <f>520000+1495000+1575511.2+209000+460497+5000000+2200000+19990+351700+155284.75+42000</f>
        <v>12028982.949999999</v>
      </c>
      <c r="G242" s="2">
        <f t="shared" si="29"/>
        <v>99.96</v>
      </c>
      <c r="H242" s="42">
        <f t="shared" si="30"/>
        <v>4607.6000000014901</v>
      </c>
    </row>
    <row r="243" spans="1:8" s="39" customFormat="1" ht="16.899999999999999" customHeight="1" x14ac:dyDescent="0.25">
      <c r="A243" s="52" t="s">
        <v>24</v>
      </c>
      <c r="B243" s="33" t="s">
        <v>25</v>
      </c>
      <c r="C243" s="28" t="s">
        <v>88</v>
      </c>
      <c r="D243" s="1">
        <v>708103.2</v>
      </c>
      <c r="E243" s="1"/>
      <c r="F243" s="1">
        <f>708103.2</f>
        <v>708103.2</v>
      </c>
      <c r="G243" s="2">
        <f>ROUND(F243/D243*100,2)</f>
        <v>100</v>
      </c>
      <c r="H243" s="42">
        <f>D243-F243</f>
        <v>0</v>
      </c>
    </row>
    <row r="244" spans="1:8" s="39" customFormat="1" ht="16.899999999999999" customHeight="1" x14ac:dyDescent="0.25">
      <c r="A244" s="52" t="s">
        <v>26</v>
      </c>
      <c r="B244" s="17" t="s">
        <v>27</v>
      </c>
      <c r="C244" s="28" t="s">
        <v>88</v>
      </c>
      <c r="D244" s="1">
        <f>220000</f>
        <v>220000</v>
      </c>
      <c r="E244" s="1"/>
      <c r="F244" s="1">
        <f>167000</f>
        <v>167000</v>
      </c>
      <c r="G244" s="2">
        <f>ROUND(F244/D244*100,2)</f>
        <v>75.91</v>
      </c>
      <c r="H244" s="42">
        <f>D244-F244</f>
        <v>53000</v>
      </c>
    </row>
    <row r="245" spans="1:8" s="39" customFormat="1" ht="16.899999999999999" customHeight="1" x14ac:dyDescent="0.25">
      <c r="A245" s="52" t="s">
        <v>28</v>
      </c>
      <c r="B245" s="17" t="s">
        <v>29</v>
      </c>
      <c r="C245" s="28" t="s">
        <v>88</v>
      </c>
      <c r="D245" s="1">
        <f>200000+584728+316000</f>
        <v>1100728</v>
      </c>
      <c r="E245" s="1"/>
      <c r="F245" s="1">
        <f>200000+28282+49704.92+115657.24+236400+174808.79+79600+216275.05</f>
        <v>1100728</v>
      </c>
      <c r="G245" s="2">
        <f>ROUND(F245/D245*100,2)</f>
        <v>100</v>
      </c>
      <c r="H245" s="42">
        <f>D245-F245</f>
        <v>0</v>
      </c>
    </row>
    <row r="246" spans="1:8" s="39" customFormat="1" ht="16.899999999999999" customHeight="1" x14ac:dyDescent="0.25">
      <c r="A246" s="52" t="s">
        <v>30</v>
      </c>
      <c r="B246" s="17" t="s">
        <v>31</v>
      </c>
      <c r="C246" s="28" t="s">
        <v>88</v>
      </c>
      <c r="D246" s="1">
        <v>300000</v>
      </c>
      <c r="E246" s="1"/>
      <c r="F246" s="1">
        <f>295900</f>
        <v>295900</v>
      </c>
      <c r="G246" s="2">
        <f t="shared" si="29"/>
        <v>98.63</v>
      </c>
      <c r="H246" s="42">
        <f t="shared" si="30"/>
        <v>4100</v>
      </c>
    </row>
    <row r="247" spans="1:8" s="39" customFormat="1" ht="15.6" customHeight="1" x14ac:dyDescent="0.25">
      <c r="A247" s="44"/>
      <c r="B247" s="21" t="s">
        <v>35</v>
      </c>
      <c r="C247" s="28" t="s">
        <v>134</v>
      </c>
      <c r="D247" s="22">
        <f>SUM(D233:D246)</f>
        <v>26661773.07</v>
      </c>
      <c r="E247" s="22">
        <f>SUM(E233:E246)</f>
        <v>0</v>
      </c>
      <c r="F247" s="22">
        <f>SUM(F233:F246)</f>
        <v>26393887.329999998</v>
      </c>
      <c r="G247" s="3">
        <f>ROUND(F247/D247*100,2)</f>
        <v>99</v>
      </c>
      <c r="H247" s="45">
        <f>SUM(H233:H246)</f>
        <v>267885.74000000162</v>
      </c>
    </row>
    <row r="248" spans="1:8" s="39" customFormat="1" ht="30" customHeight="1" x14ac:dyDescent="0.25">
      <c r="A248" s="53"/>
      <c r="B248" s="65" t="s">
        <v>109</v>
      </c>
      <c r="C248" s="63"/>
      <c r="D248" s="63"/>
      <c r="E248" s="63"/>
      <c r="F248" s="63"/>
      <c r="G248" s="63"/>
      <c r="H248" s="64"/>
    </row>
    <row r="249" spans="1:8" s="34" customFormat="1" ht="16.899999999999999" customHeight="1" x14ac:dyDescent="0.25">
      <c r="A249" s="52" t="s">
        <v>4</v>
      </c>
      <c r="B249" s="17" t="s">
        <v>7</v>
      </c>
      <c r="C249" s="28" t="s">
        <v>136</v>
      </c>
      <c r="D249" s="1">
        <f>7307.31</f>
        <v>7307.31</v>
      </c>
      <c r="E249" s="1"/>
      <c r="F249" s="1">
        <v>7307.31</v>
      </c>
      <c r="G249" s="2">
        <f t="shared" si="28"/>
        <v>100</v>
      </c>
      <c r="H249" s="42">
        <f t="shared" ref="H249:H256" si="31">D249-F249</f>
        <v>0</v>
      </c>
    </row>
    <row r="250" spans="1:8" s="34" customFormat="1" ht="16.899999999999999" customHeight="1" x14ac:dyDescent="0.25">
      <c r="A250" s="52" t="s">
        <v>6</v>
      </c>
      <c r="B250" s="17" t="s">
        <v>9</v>
      </c>
      <c r="C250" s="28" t="s">
        <v>136</v>
      </c>
      <c r="D250" s="1">
        <f>5105.1</f>
        <v>5105.1000000000004</v>
      </c>
      <c r="E250" s="1"/>
      <c r="F250" s="1">
        <v>5105.1000000000004</v>
      </c>
      <c r="G250" s="2">
        <f>ROUND(F250/D250*100,2)</f>
        <v>100</v>
      </c>
      <c r="H250" s="42">
        <f>D250-F250</f>
        <v>0</v>
      </c>
    </row>
    <row r="251" spans="1:8" s="34" customFormat="1" ht="16.899999999999999" customHeight="1" x14ac:dyDescent="0.25">
      <c r="A251" s="52" t="s">
        <v>8</v>
      </c>
      <c r="B251" s="26" t="s">
        <v>21</v>
      </c>
      <c r="C251" s="28" t="s">
        <v>89</v>
      </c>
      <c r="D251" s="1">
        <f>5026.4</f>
        <v>5026.3999999999996</v>
      </c>
      <c r="E251" s="1"/>
      <c r="F251" s="1">
        <f>5026.4</f>
        <v>5026.3999999999996</v>
      </c>
      <c r="G251" s="2">
        <f>ROUND(F251/D251*100,2)</f>
        <v>100</v>
      </c>
      <c r="H251" s="42">
        <f>D251-F251</f>
        <v>0</v>
      </c>
    </row>
    <row r="252" spans="1:8" s="34" customFormat="1" ht="16.899999999999999" customHeight="1" x14ac:dyDescent="0.25">
      <c r="A252" s="52" t="s">
        <v>10</v>
      </c>
      <c r="B252" s="33" t="s">
        <v>59</v>
      </c>
      <c r="C252" s="28" t="s">
        <v>89</v>
      </c>
      <c r="D252" s="1">
        <f>3204+24096</f>
        <v>27300</v>
      </c>
      <c r="E252" s="1"/>
      <c r="F252" s="1">
        <f>4604.35+303.17+2571.21+221.54+2484.31+201.58+2452.21+203.59+2454.58+686.49+205.01+209.97+693.98+188.84+649.76+193.77+659.27+651.49+191.14+193.66+2401.15+192.85+2399.94+195.16+2090.98</f>
        <v>27299.999999999996</v>
      </c>
      <c r="G252" s="2">
        <f>ROUND(F252/D252*100,2)</f>
        <v>100</v>
      </c>
      <c r="H252" s="42">
        <f>D252-F252</f>
        <v>0</v>
      </c>
    </row>
    <row r="253" spans="1:8" s="34" customFormat="1" ht="16.899999999999999" hidden="1" customHeight="1" x14ac:dyDescent="0.25">
      <c r="A253" s="52" t="s">
        <v>8</v>
      </c>
      <c r="B253" s="33"/>
      <c r="C253" s="28"/>
      <c r="D253" s="1"/>
      <c r="E253" s="1"/>
      <c r="F253" s="1"/>
      <c r="G253" s="2" t="e">
        <f t="shared" si="28"/>
        <v>#DIV/0!</v>
      </c>
      <c r="H253" s="42">
        <f t="shared" si="31"/>
        <v>0</v>
      </c>
    </row>
    <row r="254" spans="1:8" s="34" customFormat="1" ht="16.899999999999999" hidden="1" customHeight="1" x14ac:dyDescent="0.25">
      <c r="A254" s="52" t="s">
        <v>10</v>
      </c>
      <c r="B254" s="33"/>
      <c r="C254" s="28"/>
      <c r="D254" s="1"/>
      <c r="E254" s="1"/>
      <c r="F254" s="1"/>
      <c r="G254" s="2" t="e">
        <f t="shared" si="28"/>
        <v>#DIV/0!</v>
      </c>
      <c r="H254" s="42">
        <f t="shared" si="31"/>
        <v>0</v>
      </c>
    </row>
    <row r="255" spans="1:8" s="34" customFormat="1" ht="16.899999999999999" hidden="1" customHeight="1" x14ac:dyDescent="0.25">
      <c r="A255" s="52" t="s">
        <v>12</v>
      </c>
      <c r="B255" s="33"/>
      <c r="C255" s="28"/>
      <c r="D255" s="1"/>
      <c r="E255" s="1"/>
      <c r="F255" s="1"/>
      <c r="G255" s="2" t="e">
        <f t="shared" si="28"/>
        <v>#DIV/0!</v>
      </c>
      <c r="H255" s="42">
        <f t="shared" si="31"/>
        <v>0</v>
      </c>
    </row>
    <row r="256" spans="1:8" s="34" customFormat="1" ht="16.899999999999999" hidden="1" customHeight="1" x14ac:dyDescent="0.25">
      <c r="A256" s="52" t="s">
        <v>14</v>
      </c>
      <c r="B256" s="33"/>
      <c r="C256" s="28"/>
      <c r="D256" s="1"/>
      <c r="E256" s="1"/>
      <c r="F256" s="1"/>
      <c r="G256" s="2" t="e">
        <f t="shared" si="28"/>
        <v>#DIV/0!</v>
      </c>
      <c r="H256" s="42">
        <f t="shared" si="31"/>
        <v>0</v>
      </c>
    </row>
    <row r="257" spans="1:8" s="34" customFormat="1" ht="16.899999999999999" hidden="1" customHeight="1" x14ac:dyDescent="0.25">
      <c r="A257" s="52" t="s">
        <v>16</v>
      </c>
      <c r="B257" s="33"/>
      <c r="C257" s="28"/>
      <c r="D257" s="1"/>
      <c r="E257" s="1"/>
      <c r="F257" s="1"/>
      <c r="G257" s="2" t="e">
        <f t="shared" si="28"/>
        <v>#DIV/0!</v>
      </c>
      <c r="H257" s="42">
        <f>D257-F257</f>
        <v>0</v>
      </c>
    </row>
    <row r="258" spans="1:8" s="34" customFormat="1" ht="16.899999999999999" hidden="1" customHeight="1" x14ac:dyDescent="0.25">
      <c r="A258" s="52" t="s">
        <v>18</v>
      </c>
      <c r="B258" s="33"/>
      <c r="C258" s="28"/>
      <c r="D258" s="1"/>
      <c r="E258" s="1"/>
      <c r="F258" s="1"/>
      <c r="G258" s="2" t="e">
        <f t="shared" si="28"/>
        <v>#DIV/0!</v>
      </c>
      <c r="H258" s="42">
        <f>D258-F258</f>
        <v>0</v>
      </c>
    </row>
    <row r="259" spans="1:8" s="34" customFormat="1" ht="16.899999999999999" hidden="1" customHeight="1" x14ac:dyDescent="0.25">
      <c r="A259" s="52" t="s">
        <v>20</v>
      </c>
      <c r="B259" s="33"/>
      <c r="C259" s="28"/>
      <c r="D259" s="1"/>
      <c r="E259" s="1"/>
      <c r="F259" s="1"/>
      <c r="G259" s="2" t="e">
        <f t="shared" si="28"/>
        <v>#DIV/0!</v>
      </c>
      <c r="H259" s="42">
        <f>D259-F259</f>
        <v>0</v>
      </c>
    </row>
    <row r="260" spans="1:8" s="34" customFormat="1" hidden="1" x14ac:dyDescent="0.25">
      <c r="A260" s="52" t="s">
        <v>22</v>
      </c>
      <c r="B260" s="33"/>
      <c r="C260" s="28"/>
      <c r="D260" s="1"/>
      <c r="E260" s="1"/>
      <c r="F260" s="1"/>
      <c r="G260" s="2" t="e">
        <f t="shared" si="28"/>
        <v>#DIV/0!</v>
      </c>
      <c r="H260" s="42">
        <f>D260-F260</f>
        <v>0</v>
      </c>
    </row>
    <row r="261" spans="1:8" s="34" customFormat="1" ht="16.899999999999999" hidden="1" customHeight="1" x14ac:dyDescent="0.25">
      <c r="A261" s="52" t="s">
        <v>24</v>
      </c>
      <c r="B261" s="33"/>
      <c r="C261" s="28"/>
      <c r="D261" s="1"/>
      <c r="E261" s="1"/>
      <c r="F261" s="1"/>
      <c r="G261" s="2" t="e">
        <f t="shared" si="28"/>
        <v>#DIV/0!</v>
      </c>
      <c r="H261" s="42">
        <f>D261-F261</f>
        <v>0</v>
      </c>
    </row>
    <row r="262" spans="1:8" s="34" customFormat="1" ht="15.6" customHeight="1" x14ac:dyDescent="0.25">
      <c r="A262" s="52"/>
      <c r="B262" s="35" t="s">
        <v>35</v>
      </c>
      <c r="C262" s="28" t="s">
        <v>137</v>
      </c>
      <c r="D262" s="22">
        <f>SUM(D249:D261)</f>
        <v>44738.81</v>
      </c>
      <c r="E262" s="22">
        <f>SUM(E249:E261)</f>
        <v>0</v>
      </c>
      <c r="F262" s="22">
        <f>SUM(F249:F261)</f>
        <v>44738.81</v>
      </c>
      <c r="G262" s="3">
        <f t="shared" si="28"/>
        <v>100</v>
      </c>
      <c r="H262" s="45">
        <f>SUM(H249:H261)</f>
        <v>0</v>
      </c>
    </row>
    <row r="263" spans="1:8" s="13" customFormat="1" ht="30" customHeight="1" x14ac:dyDescent="0.25">
      <c r="A263" s="54"/>
      <c r="B263" s="76" t="s">
        <v>138</v>
      </c>
      <c r="C263" s="63"/>
      <c r="D263" s="63"/>
      <c r="E263" s="63"/>
      <c r="F263" s="63"/>
      <c r="G263" s="63"/>
      <c r="H263" s="64"/>
    </row>
    <row r="264" spans="1:8" s="34" customFormat="1" ht="16.899999999999999" customHeight="1" x14ac:dyDescent="0.25">
      <c r="A264" s="52" t="s">
        <v>4</v>
      </c>
      <c r="B264" s="17" t="s">
        <v>7</v>
      </c>
      <c r="C264" s="28" t="s">
        <v>136</v>
      </c>
      <c r="D264" s="1">
        <f>7300000</f>
        <v>7300000</v>
      </c>
      <c r="E264" s="1"/>
      <c r="F264" s="1">
        <v>7300000</v>
      </c>
      <c r="G264" s="2">
        <f t="shared" si="28"/>
        <v>100</v>
      </c>
      <c r="H264" s="42">
        <f t="shared" ref="H264:H276" si="32">D264-F264</f>
        <v>0</v>
      </c>
    </row>
    <row r="265" spans="1:8" s="34" customFormat="1" ht="16.899999999999999" customHeight="1" x14ac:dyDescent="0.25">
      <c r="A265" s="52" t="s">
        <v>6</v>
      </c>
      <c r="B265" s="17" t="s">
        <v>9</v>
      </c>
      <c r="C265" s="28" t="s">
        <v>136</v>
      </c>
      <c r="D265" s="1">
        <v>5100000</v>
      </c>
      <c r="E265" s="1"/>
      <c r="F265" s="1">
        <v>5100000</v>
      </c>
      <c r="G265" s="2">
        <f>ROUND(F265/D265*100,2)</f>
        <v>100</v>
      </c>
      <c r="H265" s="42">
        <f t="shared" si="32"/>
        <v>0</v>
      </c>
    </row>
    <row r="266" spans="1:8" s="34" customFormat="1" ht="16.899999999999999" customHeight="1" x14ac:dyDescent="0.25">
      <c r="A266" s="52" t="s">
        <v>8</v>
      </c>
      <c r="B266" s="26" t="s">
        <v>21</v>
      </c>
      <c r="C266" s="28" t="s">
        <v>89</v>
      </c>
      <c r="D266" s="1">
        <v>5021373.76</v>
      </c>
      <c r="E266" s="1"/>
      <c r="F266" s="1">
        <f>5021373.76</f>
        <v>5021373.76</v>
      </c>
      <c r="G266" s="2">
        <f>ROUND(F266/D266*100,2)</f>
        <v>100</v>
      </c>
      <c r="H266" s="42">
        <f t="shared" si="32"/>
        <v>0</v>
      </c>
    </row>
    <row r="267" spans="1:8" s="34" customFormat="1" ht="16.899999999999999" customHeight="1" x14ac:dyDescent="0.25">
      <c r="A267" s="52" t="s">
        <v>10</v>
      </c>
      <c r="B267" s="33" t="s">
        <v>59</v>
      </c>
      <c r="C267" s="28" t="s">
        <v>89</v>
      </c>
      <c r="D267" s="1">
        <f>3200000+24000000</f>
        <v>27200000</v>
      </c>
      <c r="E267" s="1"/>
      <c r="F267" s="1">
        <f>4599749.02+302869.7+2568641.76+221320.73+2481826.73+201375.54+2449754.82+2452129.58+203390.6+685807.79+204807.67+209764.83+693284.29+188655.15+649111.32+193572.91+658610.24+190951.76+193468.16+3049588.03+192659.35+2397541.39+194962.62+2016156.01</f>
        <v>27200000.000000004</v>
      </c>
      <c r="G267" s="2">
        <f>ROUND(F267/D267*100,2)</f>
        <v>100</v>
      </c>
      <c r="H267" s="42">
        <f t="shared" si="32"/>
        <v>0</v>
      </c>
    </row>
    <row r="268" spans="1:8" s="34" customFormat="1" ht="16.899999999999999" hidden="1" customHeight="1" x14ac:dyDescent="0.25">
      <c r="A268" s="52" t="s">
        <v>8</v>
      </c>
      <c r="B268" s="33"/>
      <c r="C268" s="28"/>
      <c r="D268" s="1"/>
      <c r="E268" s="1"/>
      <c r="F268" s="1"/>
      <c r="G268" s="2" t="e">
        <f t="shared" si="28"/>
        <v>#DIV/0!</v>
      </c>
      <c r="H268" s="42">
        <f t="shared" si="32"/>
        <v>0</v>
      </c>
    </row>
    <row r="269" spans="1:8" s="34" customFormat="1" ht="16.899999999999999" hidden="1" customHeight="1" x14ac:dyDescent="0.25">
      <c r="A269" s="52" t="s">
        <v>10</v>
      </c>
      <c r="B269" s="33"/>
      <c r="C269" s="28"/>
      <c r="D269" s="1"/>
      <c r="E269" s="1"/>
      <c r="F269" s="1"/>
      <c r="G269" s="2" t="e">
        <f t="shared" si="28"/>
        <v>#DIV/0!</v>
      </c>
      <c r="H269" s="42">
        <f t="shared" si="32"/>
        <v>0</v>
      </c>
    </row>
    <row r="270" spans="1:8" s="34" customFormat="1" ht="16.899999999999999" hidden="1" customHeight="1" x14ac:dyDescent="0.25">
      <c r="A270" s="52" t="s">
        <v>12</v>
      </c>
      <c r="B270" s="33"/>
      <c r="C270" s="28"/>
      <c r="D270" s="1"/>
      <c r="E270" s="1"/>
      <c r="F270" s="1"/>
      <c r="G270" s="2" t="e">
        <f t="shared" si="28"/>
        <v>#DIV/0!</v>
      </c>
      <c r="H270" s="42">
        <f t="shared" si="32"/>
        <v>0</v>
      </c>
    </row>
    <row r="271" spans="1:8" s="34" customFormat="1" ht="16.899999999999999" hidden="1" customHeight="1" x14ac:dyDescent="0.25">
      <c r="A271" s="52" t="s">
        <v>14</v>
      </c>
      <c r="B271" s="33"/>
      <c r="C271" s="28"/>
      <c r="D271" s="1"/>
      <c r="E271" s="1"/>
      <c r="F271" s="1"/>
      <c r="G271" s="2" t="e">
        <f t="shared" si="28"/>
        <v>#DIV/0!</v>
      </c>
      <c r="H271" s="42">
        <f t="shared" si="32"/>
        <v>0</v>
      </c>
    </row>
    <row r="272" spans="1:8" s="34" customFormat="1" ht="16.899999999999999" hidden="1" customHeight="1" x14ac:dyDescent="0.25">
      <c r="A272" s="52" t="s">
        <v>16</v>
      </c>
      <c r="B272" s="33"/>
      <c r="C272" s="28"/>
      <c r="D272" s="1"/>
      <c r="E272" s="1"/>
      <c r="F272" s="1"/>
      <c r="G272" s="2" t="e">
        <f t="shared" si="28"/>
        <v>#DIV/0!</v>
      </c>
      <c r="H272" s="42">
        <f>D272-F272</f>
        <v>0</v>
      </c>
    </row>
    <row r="273" spans="1:8" s="34" customFormat="1" ht="16.899999999999999" hidden="1" customHeight="1" x14ac:dyDescent="0.25">
      <c r="A273" s="52" t="s">
        <v>18</v>
      </c>
      <c r="B273" s="33"/>
      <c r="C273" s="28"/>
      <c r="D273" s="1"/>
      <c r="E273" s="1"/>
      <c r="F273" s="1"/>
      <c r="G273" s="2" t="e">
        <f t="shared" si="28"/>
        <v>#DIV/0!</v>
      </c>
      <c r="H273" s="42">
        <f t="shared" si="32"/>
        <v>0</v>
      </c>
    </row>
    <row r="274" spans="1:8" s="34" customFormat="1" ht="16.899999999999999" hidden="1" customHeight="1" x14ac:dyDescent="0.25">
      <c r="A274" s="52" t="s">
        <v>20</v>
      </c>
      <c r="B274" s="33"/>
      <c r="C274" s="28"/>
      <c r="D274" s="1"/>
      <c r="E274" s="1"/>
      <c r="F274" s="1"/>
      <c r="G274" s="2" t="e">
        <f t="shared" si="28"/>
        <v>#DIV/0!</v>
      </c>
      <c r="H274" s="42">
        <f t="shared" si="32"/>
        <v>0</v>
      </c>
    </row>
    <row r="275" spans="1:8" s="34" customFormat="1" hidden="1" x14ac:dyDescent="0.25">
      <c r="A275" s="52" t="s">
        <v>22</v>
      </c>
      <c r="B275" s="33"/>
      <c r="C275" s="28"/>
      <c r="D275" s="1"/>
      <c r="E275" s="1"/>
      <c r="F275" s="1"/>
      <c r="G275" s="2" t="e">
        <f t="shared" si="28"/>
        <v>#DIV/0!</v>
      </c>
      <c r="H275" s="42">
        <f t="shared" si="32"/>
        <v>0</v>
      </c>
    </row>
    <row r="276" spans="1:8" s="34" customFormat="1" ht="16.899999999999999" hidden="1" customHeight="1" x14ac:dyDescent="0.25">
      <c r="A276" s="52" t="s">
        <v>24</v>
      </c>
      <c r="B276" s="33"/>
      <c r="C276" s="28"/>
      <c r="D276" s="1"/>
      <c r="E276" s="1"/>
      <c r="F276" s="1"/>
      <c r="G276" s="2" t="e">
        <f t="shared" si="28"/>
        <v>#DIV/0!</v>
      </c>
      <c r="H276" s="42">
        <f t="shared" si="32"/>
        <v>0</v>
      </c>
    </row>
    <row r="277" spans="1:8" s="34" customFormat="1" ht="15.6" customHeight="1" x14ac:dyDescent="0.25">
      <c r="A277" s="52"/>
      <c r="B277" s="35" t="s">
        <v>35</v>
      </c>
      <c r="C277" s="28" t="s">
        <v>137</v>
      </c>
      <c r="D277" s="22">
        <f>SUM(D264:D276)</f>
        <v>44621373.759999998</v>
      </c>
      <c r="E277" s="22">
        <f>SUM(E264:E276)</f>
        <v>0</v>
      </c>
      <c r="F277" s="22">
        <f>SUM(F264:F276)</f>
        <v>44621373.760000005</v>
      </c>
      <c r="G277" s="3">
        <f t="shared" si="28"/>
        <v>100</v>
      </c>
      <c r="H277" s="45">
        <f>SUM(H264:H276)</f>
        <v>0</v>
      </c>
    </row>
    <row r="278" spans="1:8" s="39" customFormat="1" ht="29.25" hidden="1" customHeight="1" x14ac:dyDescent="0.25">
      <c r="A278" s="44"/>
      <c r="B278" s="65" t="s">
        <v>90</v>
      </c>
      <c r="C278" s="63"/>
      <c r="D278" s="63"/>
      <c r="E278" s="63"/>
      <c r="F278" s="63"/>
      <c r="G278" s="63"/>
      <c r="H278" s="64"/>
    </row>
    <row r="279" spans="1:8" s="39" customFormat="1" ht="15.6" hidden="1" customHeight="1" x14ac:dyDescent="0.25">
      <c r="A279" s="41" t="s">
        <v>4</v>
      </c>
      <c r="B279" s="17" t="s">
        <v>5</v>
      </c>
      <c r="C279" s="28" t="s">
        <v>91</v>
      </c>
      <c r="D279" s="1"/>
      <c r="E279" s="1"/>
      <c r="F279" s="1"/>
      <c r="G279" s="2" t="e">
        <f t="shared" si="28"/>
        <v>#DIV/0!</v>
      </c>
      <c r="H279" s="42">
        <f t="shared" ref="H279:H293" si="33">D279-F279</f>
        <v>0</v>
      </c>
    </row>
    <row r="280" spans="1:8" s="39" customFormat="1" ht="15.6" hidden="1" customHeight="1" x14ac:dyDescent="0.25">
      <c r="A280" s="41" t="s">
        <v>6</v>
      </c>
      <c r="B280" s="17" t="s">
        <v>7</v>
      </c>
      <c r="C280" s="28" t="s">
        <v>91</v>
      </c>
      <c r="D280" s="1"/>
      <c r="E280" s="1"/>
      <c r="F280" s="1"/>
      <c r="G280" s="2" t="e">
        <f t="shared" si="28"/>
        <v>#DIV/0!</v>
      </c>
      <c r="H280" s="42">
        <f t="shared" si="33"/>
        <v>0</v>
      </c>
    </row>
    <row r="281" spans="1:8" s="39" customFormat="1" ht="15.6" hidden="1" customHeight="1" x14ac:dyDescent="0.25">
      <c r="A281" s="41" t="s">
        <v>8</v>
      </c>
      <c r="B281" s="17" t="s">
        <v>9</v>
      </c>
      <c r="C281" s="28" t="s">
        <v>91</v>
      </c>
      <c r="D281" s="1"/>
      <c r="E281" s="1"/>
      <c r="F281" s="1"/>
      <c r="G281" s="2" t="e">
        <f t="shared" si="28"/>
        <v>#DIV/0!</v>
      </c>
      <c r="H281" s="42">
        <f t="shared" si="33"/>
        <v>0</v>
      </c>
    </row>
    <row r="282" spans="1:8" s="39" customFormat="1" ht="15.6" hidden="1" customHeight="1" x14ac:dyDescent="0.25">
      <c r="A282" s="41" t="s">
        <v>10</v>
      </c>
      <c r="B282" s="17" t="s">
        <v>11</v>
      </c>
      <c r="C282" s="28" t="s">
        <v>92</v>
      </c>
      <c r="D282" s="1"/>
      <c r="E282" s="1"/>
      <c r="F282" s="1"/>
      <c r="G282" s="2" t="e">
        <f t="shared" si="28"/>
        <v>#DIV/0!</v>
      </c>
      <c r="H282" s="42">
        <f t="shared" si="33"/>
        <v>0</v>
      </c>
    </row>
    <row r="283" spans="1:8" s="39" customFormat="1" ht="15.6" hidden="1" customHeight="1" x14ac:dyDescent="0.25">
      <c r="A283" s="41" t="s">
        <v>12</v>
      </c>
      <c r="B283" s="17" t="s">
        <v>13</v>
      </c>
      <c r="C283" s="28" t="s">
        <v>92</v>
      </c>
      <c r="D283" s="1"/>
      <c r="E283" s="1"/>
      <c r="F283" s="1"/>
      <c r="G283" s="2" t="e">
        <f t="shared" si="28"/>
        <v>#DIV/0!</v>
      </c>
      <c r="H283" s="42">
        <f t="shared" si="33"/>
        <v>0</v>
      </c>
    </row>
    <row r="284" spans="1:8" s="39" customFormat="1" ht="15.6" hidden="1" customHeight="1" x14ac:dyDescent="0.25">
      <c r="A284" s="41" t="s">
        <v>14</v>
      </c>
      <c r="B284" s="17" t="s">
        <v>15</v>
      </c>
      <c r="C284" s="28" t="s">
        <v>92</v>
      </c>
      <c r="D284" s="1"/>
      <c r="E284" s="1"/>
      <c r="F284" s="1"/>
      <c r="G284" s="2" t="e">
        <f t="shared" si="28"/>
        <v>#DIV/0!</v>
      </c>
      <c r="H284" s="42">
        <f t="shared" si="33"/>
        <v>0</v>
      </c>
    </row>
    <row r="285" spans="1:8" s="39" customFormat="1" ht="15.6" hidden="1" customHeight="1" x14ac:dyDescent="0.25">
      <c r="A285" s="41" t="s">
        <v>16</v>
      </c>
      <c r="B285" s="17" t="s">
        <v>17</v>
      </c>
      <c r="C285" s="28" t="s">
        <v>92</v>
      </c>
      <c r="D285" s="1"/>
      <c r="E285" s="1"/>
      <c r="F285" s="1"/>
      <c r="G285" s="2" t="e">
        <f t="shared" si="28"/>
        <v>#DIV/0!</v>
      </c>
      <c r="H285" s="42">
        <f t="shared" si="33"/>
        <v>0</v>
      </c>
    </row>
    <row r="286" spans="1:8" s="39" customFormat="1" ht="15.6" hidden="1" customHeight="1" x14ac:dyDescent="0.25">
      <c r="A286" s="41" t="s">
        <v>18</v>
      </c>
      <c r="B286" s="17" t="s">
        <v>19</v>
      </c>
      <c r="C286" s="28" t="s">
        <v>92</v>
      </c>
      <c r="D286" s="1"/>
      <c r="E286" s="1"/>
      <c r="F286" s="1"/>
      <c r="G286" s="2" t="e">
        <f t="shared" si="28"/>
        <v>#DIV/0!</v>
      </c>
      <c r="H286" s="42">
        <f t="shared" si="33"/>
        <v>0</v>
      </c>
    </row>
    <row r="287" spans="1:8" s="39" customFormat="1" ht="15.6" hidden="1" customHeight="1" x14ac:dyDescent="0.25">
      <c r="A287" s="41" t="s">
        <v>20</v>
      </c>
      <c r="B287" s="17" t="s">
        <v>21</v>
      </c>
      <c r="C287" s="28" t="s">
        <v>92</v>
      </c>
      <c r="D287" s="1"/>
      <c r="E287" s="1"/>
      <c r="F287" s="1"/>
      <c r="G287" s="2" t="e">
        <f t="shared" si="28"/>
        <v>#DIV/0!</v>
      </c>
      <c r="H287" s="42">
        <f t="shared" si="33"/>
        <v>0</v>
      </c>
    </row>
    <row r="288" spans="1:8" s="39" customFormat="1" ht="15.6" hidden="1" customHeight="1" x14ac:dyDescent="0.25">
      <c r="A288" s="41" t="s">
        <v>22</v>
      </c>
      <c r="B288" s="17" t="s">
        <v>23</v>
      </c>
      <c r="C288" s="28" t="s">
        <v>92</v>
      </c>
      <c r="D288" s="1"/>
      <c r="E288" s="1"/>
      <c r="F288" s="1"/>
      <c r="G288" s="2" t="e">
        <f t="shared" si="28"/>
        <v>#DIV/0!</v>
      </c>
      <c r="H288" s="42">
        <f t="shared" si="33"/>
        <v>0</v>
      </c>
    </row>
    <row r="289" spans="1:8" s="39" customFormat="1" ht="15.6" hidden="1" customHeight="1" x14ac:dyDescent="0.25">
      <c r="A289" s="41" t="s">
        <v>24</v>
      </c>
      <c r="B289" s="17" t="s">
        <v>25</v>
      </c>
      <c r="C289" s="28" t="s">
        <v>92</v>
      </c>
      <c r="D289" s="1"/>
      <c r="E289" s="1"/>
      <c r="F289" s="1"/>
      <c r="G289" s="2" t="e">
        <f t="shared" si="28"/>
        <v>#DIV/0!</v>
      </c>
      <c r="H289" s="42">
        <f t="shared" si="33"/>
        <v>0</v>
      </c>
    </row>
    <row r="290" spans="1:8" s="39" customFormat="1" ht="15.6" hidden="1" customHeight="1" x14ac:dyDescent="0.25">
      <c r="A290" s="41" t="s">
        <v>26</v>
      </c>
      <c r="B290" s="17" t="s">
        <v>27</v>
      </c>
      <c r="C290" s="28" t="s">
        <v>92</v>
      </c>
      <c r="D290" s="1"/>
      <c r="E290" s="1"/>
      <c r="F290" s="1"/>
      <c r="G290" s="2" t="e">
        <f t="shared" si="28"/>
        <v>#DIV/0!</v>
      </c>
      <c r="H290" s="42">
        <f t="shared" si="33"/>
        <v>0</v>
      </c>
    </row>
    <row r="291" spans="1:8" s="39" customFormat="1" ht="15.6" hidden="1" customHeight="1" x14ac:dyDescent="0.25">
      <c r="A291" s="41" t="s">
        <v>28</v>
      </c>
      <c r="B291" s="17" t="s">
        <v>29</v>
      </c>
      <c r="C291" s="28" t="s">
        <v>92</v>
      </c>
      <c r="D291" s="1"/>
      <c r="E291" s="1"/>
      <c r="F291" s="1"/>
      <c r="G291" s="2" t="e">
        <f t="shared" si="28"/>
        <v>#DIV/0!</v>
      </c>
      <c r="H291" s="42">
        <f t="shared" si="33"/>
        <v>0</v>
      </c>
    </row>
    <row r="292" spans="1:8" s="39" customFormat="1" ht="15.6" hidden="1" customHeight="1" x14ac:dyDescent="0.25">
      <c r="A292" s="41" t="s">
        <v>30</v>
      </c>
      <c r="B292" s="17" t="s">
        <v>31</v>
      </c>
      <c r="C292" s="28" t="s">
        <v>92</v>
      </c>
      <c r="D292" s="1"/>
      <c r="E292" s="1"/>
      <c r="F292" s="1"/>
      <c r="G292" s="2" t="e">
        <f t="shared" si="28"/>
        <v>#DIV/0!</v>
      </c>
      <c r="H292" s="42">
        <f t="shared" si="33"/>
        <v>0</v>
      </c>
    </row>
    <row r="293" spans="1:8" s="39" customFormat="1" ht="15.6" hidden="1" customHeight="1" x14ac:dyDescent="0.25">
      <c r="A293" s="41" t="s">
        <v>32</v>
      </c>
      <c r="B293" s="17" t="s">
        <v>33</v>
      </c>
      <c r="C293" s="28" t="s">
        <v>92</v>
      </c>
      <c r="D293" s="1"/>
      <c r="E293" s="1"/>
      <c r="F293" s="1"/>
      <c r="G293" s="2" t="e">
        <f t="shared" si="28"/>
        <v>#DIV/0!</v>
      </c>
      <c r="H293" s="42">
        <f t="shared" si="33"/>
        <v>0</v>
      </c>
    </row>
    <row r="294" spans="1:8" s="39" customFormat="1" ht="15.6" hidden="1" customHeight="1" x14ac:dyDescent="0.25">
      <c r="A294" s="44"/>
      <c r="B294" s="21" t="s">
        <v>35</v>
      </c>
      <c r="C294" s="28" t="s">
        <v>93</v>
      </c>
      <c r="D294" s="22">
        <f>SUM(D279:D293)</f>
        <v>0</v>
      </c>
      <c r="E294" s="22">
        <f>SUM(E279:E293)</f>
        <v>0</v>
      </c>
      <c r="F294" s="22">
        <f>SUM(F279:F293)</f>
        <v>0</v>
      </c>
      <c r="G294" s="3" t="e">
        <f t="shared" si="28"/>
        <v>#DIV/0!</v>
      </c>
      <c r="H294" s="45">
        <f>SUM(H279:H293)</f>
        <v>0</v>
      </c>
    </row>
    <row r="295" spans="1:8" s="39" customFormat="1" ht="32.25" customHeight="1" x14ac:dyDescent="0.25">
      <c r="A295" s="44"/>
      <c r="B295" s="65" t="s">
        <v>110</v>
      </c>
      <c r="C295" s="63"/>
      <c r="D295" s="63"/>
      <c r="E295" s="63"/>
      <c r="F295" s="63"/>
      <c r="G295" s="63"/>
      <c r="H295" s="64"/>
    </row>
    <row r="296" spans="1:8" s="39" customFormat="1" ht="15.6" hidden="1" customHeight="1" x14ac:dyDescent="0.25">
      <c r="A296" s="41" t="s">
        <v>4</v>
      </c>
      <c r="B296" s="17" t="s">
        <v>5</v>
      </c>
      <c r="C296" s="28" t="s">
        <v>91</v>
      </c>
      <c r="D296" s="1"/>
      <c r="E296" s="1"/>
      <c r="F296" s="1"/>
      <c r="G296" s="2" t="e">
        <f t="shared" si="28"/>
        <v>#DIV/0!</v>
      </c>
      <c r="H296" s="42">
        <f t="shared" ref="H296:H310" si="34">D296-F296</f>
        <v>0</v>
      </c>
    </row>
    <row r="297" spans="1:8" s="39" customFormat="1" ht="15.6" hidden="1" customHeight="1" x14ac:dyDescent="0.25">
      <c r="A297" s="41" t="s">
        <v>6</v>
      </c>
      <c r="B297" s="17" t="s">
        <v>7</v>
      </c>
      <c r="C297" s="28" t="s">
        <v>91</v>
      </c>
      <c r="D297" s="1"/>
      <c r="E297" s="1"/>
      <c r="F297" s="1"/>
      <c r="G297" s="2" t="e">
        <f t="shared" si="28"/>
        <v>#DIV/0!</v>
      </c>
      <c r="H297" s="42">
        <f t="shared" si="34"/>
        <v>0</v>
      </c>
    </row>
    <row r="298" spans="1:8" s="39" customFormat="1" ht="15.6" hidden="1" customHeight="1" x14ac:dyDescent="0.25">
      <c r="A298" s="41" t="s">
        <v>8</v>
      </c>
      <c r="B298" s="17" t="s">
        <v>9</v>
      </c>
      <c r="C298" s="28" t="s">
        <v>91</v>
      </c>
      <c r="D298" s="1"/>
      <c r="E298" s="1"/>
      <c r="F298" s="1"/>
      <c r="G298" s="2" t="e">
        <f t="shared" si="28"/>
        <v>#DIV/0!</v>
      </c>
      <c r="H298" s="42">
        <f t="shared" si="34"/>
        <v>0</v>
      </c>
    </row>
    <row r="299" spans="1:8" s="39" customFormat="1" ht="15.6" hidden="1" customHeight="1" x14ac:dyDescent="0.25">
      <c r="A299" s="41" t="s">
        <v>10</v>
      </c>
      <c r="B299" s="17" t="s">
        <v>11</v>
      </c>
      <c r="C299" s="28" t="s">
        <v>92</v>
      </c>
      <c r="D299" s="1"/>
      <c r="E299" s="1"/>
      <c r="F299" s="1"/>
      <c r="G299" s="2" t="e">
        <f t="shared" si="28"/>
        <v>#DIV/0!</v>
      </c>
      <c r="H299" s="42">
        <f t="shared" si="34"/>
        <v>0</v>
      </c>
    </row>
    <row r="300" spans="1:8" s="39" customFormat="1" ht="15.6" hidden="1" customHeight="1" x14ac:dyDescent="0.25">
      <c r="A300" s="41" t="s">
        <v>12</v>
      </c>
      <c r="B300" s="17" t="s">
        <v>13</v>
      </c>
      <c r="C300" s="28" t="s">
        <v>92</v>
      </c>
      <c r="D300" s="1"/>
      <c r="E300" s="1"/>
      <c r="F300" s="1"/>
      <c r="G300" s="2" t="e">
        <f t="shared" si="28"/>
        <v>#DIV/0!</v>
      </c>
      <c r="H300" s="42">
        <f t="shared" si="34"/>
        <v>0</v>
      </c>
    </row>
    <row r="301" spans="1:8" s="39" customFormat="1" ht="15.6" hidden="1" customHeight="1" x14ac:dyDescent="0.25">
      <c r="A301" s="41" t="s">
        <v>14</v>
      </c>
      <c r="B301" s="17" t="s">
        <v>15</v>
      </c>
      <c r="C301" s="28" t="s">
        <v>92</v>
      </c>
      <c r="D301" s="1"/>
      <c r="E301" s="1"/>
      <c r="F301" s="1"/>
      <c r="G301" s="2" t="e">
        <f t="shared" si="28"/>
        <v>#DIV/0!</v>
      </c>
      <c r="H301" s="42">
        <f t="shared" si="34"/>
        <v>0</v>
      </c>
    </row>
    <row r="302" spans="1:8" s="39" customFormat="1" ht="15.6" hidden="1" customHeight="1" x14ac:dyDescent="0.25">
      <c r="A302" s="41" t="s">
        <v>16</v>
      </c>
      <c r="B302" s="17" t="s">
        <v>17</v>
      </c>
      <c r="C302" s="28" t="s">
        <v>92</v>
      </c>
      <c r="D302" s="1"/>
      <c r="E302" s="1"/>
      <c r="F302" s="1"/>
      <c r="G302" s="2" t="e">
        <f t="shared" si="28"/>
        <v>#DIV/0!</v>
      </c>
      <c r="H302" s="42">
        <f t="shared" si="34"/>
        <v>0</v>
      </c>
    </row>
    <row r="303" spans="1:8" s="39" customFormat="1" ht="15.6" hidden="1" customHeight="1" x14ac:dyDescent="0.25">
      <c r="A303" s="41" t="s">
        <v>18</v>
      </c>
      <c r="B303" s="17" t="s">
        <v>19</v>
      </c>
      <c r="C303" s="28" t="s">
        <v>92</v>
      </c>
      <c r="D303" s="1"/>
      <c r="E303" s="1"/>
      <c r="F303" s="1"/>
      <c r="G303" s="2" t="e">
        <f t="shared" si="28"/>
        <v>#DIV/0!</v>
      </c>
      <c r="H303" s="42">
        <f t="shared" si="34"/>
        <v>0</v>
      </c>
    </row>
    <row r="304" spans="1:8" s="39" customFormat="1" ht="15.75" hidden="1" customHeight="1" x14ac:dyDescent="0.25">
      <c r="A304" s="41" t="s">
        <v>20</v>
      </c>
      <c r="B304" s="17" t="s">
        <v>21</v>
      </c>
      <c r="C304" s="28" t="s">
        <v>92</v>
      </c>
      <c r="D304" s="1"/>
      <c r="E304" s="1"/>
      <c r="F304" s="1"/>
      <c r="G304" s="2" t="e">
        <f t="shared" si="28"/>
        <v>#DIV/0!</v>
      </c>
      <c r="H304" s="42">
        <f t="shared" si="34"/>
        <v>0</v>
      </c>
    </row>
    <row r="305" spans="1:8" s="39" customFormat="1" ht="15.6" customHeight="1" x14ac:dyDescent="0.25">
      <c r="A305" s="41" t="s">
        <v>4</v>
      </c>
      <c r="B305" s="17" t="s">
        <v>23</v>
      </c>
      <c r="C305" s="28" t="s">
        <v>92</v>
      </c>
      <c r="D305" s="1">
        <v>10681044.390000001</v>
      </c>
      <c r="E305" s="1"/>
      <c r="F305" s="1"/>
      <c r="G305" s="2">
        <f t="shared" ref="G305:G311" si="35">ROUND(F305/D305*100,2)</f>
        <v>0</v>
      </c>
      <c r="H305" s="42">
        <f>D305-F305</f>
        <v>10681044.390000001</v>
      </c>
    </row>
    <row r="306" spans="1:8" s="39" customFormat="1" ht="15.6" hidden="1" customHeight="1" x14ac:dyDescent="0.25">
      <c r="A306" s="41" t="s">
        <v>24</v>
      </c>
      <c r="B306" s="17" t="s">
        <v>25</v>
      </c>
      <c r="C306" s="28" t="s">
        <v>92</v>
      </c>
      <c r="D306" s="1"/>
      <c r="E306" s="1"/>
      <c r="F306" s="1"/>
      <c r="G306" s="2" t="e">
        <f t="shared" si="35"/>
        <v>#DIV/0!</v>
      </c>
      <c r="H306" s="42">
        <f t="shared" si="34"/>
        <v>0</v>
      </c>
    </row>
    <row r="307" spans="1:8" s="39" customFormat="1" ht="15.6" hidden="1" customHeight="1" x14ac:dyDescent="0.25">
      <c r="A307" s="41" t="s">
        <v>26</v>
      </c>
      <c r="B307" s="17" t="s">
        <v>27</v>
      </c>
      <c r="C307" s="28" t="s">
        <v>92</v>
      </c>
      <c r="D307" s="1"/>
      <c r="E307" s="1"/>
      <c r="F307" s="1"/>
      <c r="G307" s="2" t="e">
        <f t="shared" si="35"/>
        <v>#DIV/0!</v>
      </c>
      <c r="H307" s="42">
        <f t="shared" si="34"/>
        <v>0</v>
      </c>
    </row>
    <row r="308" spans="1:8" s="39" customFormat="1" ht="15.6" hidden="1" customHeight="1" x14ac:dyDescent="0.25">
      <c r="A308" s="41" t="s">
        <v>28</v>
      </c>
      <c r="B308" s="17" t="s">
        <v>29</v>
      </c>
      <c r="C308" s="28" t="s">
        <v>92</v>
      </c>
      <c r="D308" s="1"/>
      <c r="E308" s="1"/>
      <c r="F308" s="1"/>
      <c r="G308" s="2" t="e">
        <f t="shared" si="35"/>
        <v>#DIV/0!</v>
      </c>
      <c r="H308" s="42">
        <f t="shared" si="34"/>
        <v>0</v>
      </c>
    </row>
    <row r="309" spans="1:8" s="39" customFormat="1" ht="15.6" hidden="1" customHeight="1" x14ac:dyDescent="0.25">
      <c r="A309" s="41" t="s">
        <v>30</v>
      </c>
      <c r="B309" s="17" t="s">
        <v>31</v>
      </c>
      <c r="C309" s="28" t="s">
        <v>92</v>
      </c>
      <c r="D309" s="1"/>
      <c r="E309" s="1"/>
      <c r="F309" s="1"/>
      <c r="G309" s="2" t="e">
        <f t="shared" si="35"/>
        <v>#DIV/0!</v>
      </c>
      <c r="H309" s="42">
        <f t="shared" si="34"/>
        <v>0</v>
      </c>
    </row>
    <row r="310" spans="1:8" s="39" customFormat="1" ht="15.6" hidden="1" customHeight="1" x14ac:dyDescent="0.25">
      <c r="A310" s="41" t="s">
        <v>32</v>
      </c>
      <c r="B310" s="17" t="s">
        <v>33</v>
      </c>
      <c r="C310" s="28" t="s">
        <v>92</v>
      </c>
      <c r="D310" s="1"/>
      <c r="E310" s="1"/>
      <c r="F310" s="1"/>
      <c r="G310" s="2" t="e">
        <f t="shared" si="35"/>
        <v>#DIV/0!</v>
      </c>
      <c r="H310" s="42">
        <f t="shared" si="34"/>
        <v>0</v>
      </c>
    </row>
    <row r="311" spans="1:8" s="39" customFormat="1" ht="15.6" customHeight="1" x14ac:dyDescent="0.25">
      <c r="A311" s="41"/>
      <c r="B311" s="21" t="s">
        <v>35</v>
      </c>
      <c r="C311" s="28" t="s">
        <v>139</v>
      </c>
      <c r="D311" s="22">
        <f>SUM(D296:D310)</f>
        <v>10681044.390000001</v>
      </c>
      <c r="E311" s="22">
        <f>SUM(E296:E310)</f>
        <v>0</v>
      </c>
      <c r="F311" s="22">
        <f>SUM(F296:F310)</f>
        <v>0</v>
      </c>
      <c r="G311" s="3">
        <f t="shared" si="35"/>
        <v>0</v>
      </c>
      <c r="H311" s="45">
        <f t="shared" ref="H311" si="36">SUM(H296:H310)</f>
        <v>10681044.390000001</v>
      </c>
    </row>
    <row r="312" spans="1:8" s="39" customFormat="1" ht="47.25" customHeight="1" x14ac:dyDescent="0.25">
      <c r="A312" s="41"/>
      <c r="B312" s="76" t="s">
        <v>70</v>
      </c>
      <c r="C312" s="63"/>
      <c r="D312" s="63"/>
      <c r="E312" s="63"/>
      <c r="F312" s="63"/>
      <c r="G312" s="63"/>
      <c r="H312" s="64"/>
    </row>
    <row r="313" spans="1:8" s="39" customFormat="1" ht="15.6" customHeight="1" x14ac:dyDescent="0.25">
      <c r="A313" s="41" t="s">
        <v>50</v>
      </c>
      <c r="B313" s="33" t="s">
        <v>11</v>
      </c>
      <c r="C313" s="28" t="s">
        <v>94</v>
      </c>
      <c r="D313" s="1">
        <f>1500000+92000</f>
        <v>1592000</v>
      </c>
      <c r="E313" s="1"/>
      <c r="F313" s="1">
        <f>1500000+92000</f>
        <v>1592000</v>
      </c>
      <c r="G313" s="2">
        <f>ROUND(F313/D313*100,2)</f>
        <v>100</v>
      </c>
      <c r="H313" s="42">
        <f>D313-F313</f>
        <v>0</v>
      </c>
    </row>
    <row r="314" spans="1:8" s="39" customFormat="1" ht="15.6" customHeight="1" x14ac:dyDescent="0.25">
      <c r="A314" s="41" t="s">
        <v>52</v>
      </c>
      <c r="B314" s="17" t="s">
        <v>15</v>
      </c>
      <c r="C314" s="28" t="s">
        <v>94</v>
      </c>
      <c r="D314" s="1">
        <f>200000+618003.6</f>
        <v>818003.6</v>
      </c>
      <c r="E314" s="1"/>
      <c r="F314" s="1">
        <f>200000+618003.6</f>
        <v>818003.6</v>
      </c>
      <c r="G314" s="2">
        <f>ROUND(F314/D314*100,2)</f>
        <v>100</v>
      </c>
      <c r="H314" s="42">
        <f>D314-F314</f>
        <v>0</v>
      </c>
    </row>
    <row r="315" spans="1:8" s="39" customFormat="1" ht="15.6" customHeight="1" x14ac:dyDescent="0.25">
      <c r="A315" s="41" t="s">
        <v>8</v>
      </c>
      <c r="B315" s="33" t="s">
        <v>17</v>
      </c>
      <c r="C315" s="28" t="s">
        <v>94</v>
      </c>
      <c r="D315" s="1">
        <v>800000</v>
      </c>
      <c r="E315" s="1"/>
      <c r="F315" s="1">
        <f>800000</f>
        <v>800000</v>
      </c>
      <c r="G315" s="2">
        <f>ROUND(F315/D315*100,2)</f>
        <v>100</v>
      </c>
      <c r="H315" s="42">
        <f>D315-F315</f>
        <v>0</v>
      </c>
    </row>
    <row r="316" spans="1:8" s="39" customFormat="1" ht="15.6" hidden="1" customHeight="1" x14ac:dyDescent="0.25">
      <c r="A316" s="41" t="s">
        <v>10</v>
      </c>
      <c r="B316" s="17" t="s">
        <v>31</v>
      </c>
      <c r="C316" s="28" t="s">
        <v>94</v>
      </c>
      <c r="D316" s="1">
        <f>206893.2-206893.2</f>
        <v>0</v>
      </c>
      <c r="E316" s="1"/>
      <c r="F316" s="1"/>
      <c r="G316" s="2" t="e">
        <f>ROUND(F316/D316*100,2)</f>
        <v>#DIV/0!</v>
      </c>
      <c r="H316" s="42">
        <f>D316-F316</f>
        <v>0</v>
      </c>
    </row>
    <row r="317" spans="1:8" s="39" customFormat="1" ht="15.6" customHeight="1" x14ac:dyDescent="0.25">
      <c r="A317" s="41"/>
      <c r="B317" s="21" t="s">
        <v>35</v>
      </c>
      <c r="C317" s="28" t="s">
        <v>140</v>
      </c>
      <c r="D317" s="22">
        <f>SUM(D313:D316)</f>
        <v>3210003.6</v>
      </c>
      <c r="E317" s="22">
        <f>SUM(E313:E316)</f>
        <v>0</v>
      </c>
      <c r="F317" s="22">
        <f>SUM(F313:F316)</f>
        <v>3210003.6</v>
      </c>
      <c r="G317" s="3">
        <f>ROUND(F317/D317*100,2)</f>
        <v>100</v>
      </c>
      <c r="H317" s="45">
        <f>SUM(H313:H316)</f>
        <v>0</v>
      </c>
    </row>
    <row r="318" spans="1:8" s="39" customFormat="1" ht="47.25" customHeight="1" x14ac:dyDescent="0.25">
      <c r="A318" s="41"/>
      <c r="B318" s="76" t="s">
        <v>141</v>
      </c>
      <c r="C318" s="63"/>
      <c r="D318" s="63"/>
      <c r="E318" s="63"/>
      <c r="F318" s="63"/>
      <c r="G318" s="63"/>
      <c r="H318" s="64"/>
    </row>
    <row r="319" spans="1:8" s="39" customFormat="1" ht="16.899999999999999" customHeight="1" x14ac:dyDescent="0.25">
      <c r="A319" s="41" t="s">
        <v>50</v>
      </c>
      <c r="B319" s="26" t="s">
        <v>21</v>
      </c>
      <c r="C319" s="28" t="s">
        <v>142</v>
      </c>
      <c r="D319" s="1">
        <f>8500000</f>
        <v>8500000</v>
      </c>
      <c r="E319" s="1"/>
      <c r="F319" s="1">
        <f>7353133.92</f>
        <v>7353133.9199999999</v>
      </c>
      <c r="G319" s="2">
        <f>ROUND(F319/D319*100,2)</f>
        <v>86.51</v>
      </c>
      <c r="H319" s="42">
        <f>D319-F319</f>
        <v>1146866.08</v>
      </c>
    </row>
    <row r="320" spans="1:8" s="39" customFormat="1" ht="16.899999999999999" hidden="1" customHeight="1" x14ac:dyDescent="0.25">
      <c r="A320" s="41" t="s">
        <v>52</v>
      </c>
      <c r="B320" s="17"/>
      <c r="C320" s="28"/>
      <c r="D320" s="1"/>
      <c r="E320" s="1"/>
      <c r="F320" s="1"/>
      <c r="G320" s="2" t="e">
        <f>ROUND(F320/D320*100,2)</f>
        <v>#DIV/0!</v>
      </c>
      <c r="H320" s="42">
        <f>D320-F320</f>
        <v>0</v>
      </c>
    </row>
    <row r="321" spans="1:8" s="39" customFormat="1" ht="15.6" customHeight="1" x14ac:dyDescent="0.25">
      <c r="A321" s="41"/>
      <c r="B321" s="21" t="s">
        <v>35</v>
      </c>
      <c r="C321" s="28" t="s">
        <v>143</v>
      </c>
      <c r="D321" s="22">
        <f>SUM(D319:D320)</f>
        <v>8500000</v>
      </c>
      <c r="E321" s="22">
        <f>SUM(E319:E320)</f>
        <v>0</v>
      </c>
      <c r="F321" s="22">
        <f>SUM(F319:F320)</f>
        <v>7353133.9199999999</v>
      </c>
      <c r="G321" s="3">
        <f>ROUND(F321/D321*100,2)</f>
        <v>86.51</v>
      </c>
      <c r="H321" s="45">
        <f>SUM(H319:H320)</f>
        <v>1146866.08</v>
      </c>
    </row>
    <row r="322" spans="1:8" s="39" customFormat="1" ht="48" customHeight="1" x14ac:dyDescent="0.25">
      <c r="A322" s="41"/>
      <c r="B322" s="65" t="s">
        <v>95</v>
      </c>
      <c r="C322" s="63"/>
      <c r="D322" s="63"/>
      <c r="E322" s="63"/>
      <c r="F322" s="63"/>
      <c r="G322" s="63"/>
      <c r="H322" s="64"/>
    </row>
    <row r="323" spans="1:8" s="39" customFormat="1" ht="16.899999999999999" hidden="1" customHeight="1" x14ac:dyDescent="0.25">
      <c r="A323" s="52" t="s">
        <v>4</v>
      </c>
      <c r="B323" s="17" t="s">
        <v>5</v>
      </c>
      <c r="C323" s="28" t="s">
        <v>96</v>
      </c>
      <c r="D323" s="1">
        <v>0</v>
      </c>
      <c r="E323" s="1"/>
      <c r="F323" s="1"/>
      <c r="G323" s="2" t="e">
        <f>ROUND(F323/D323*100,2)</f>
        <v>#DIV/0!</v>
      </c>
      <c r="H323" s="42">
        <f>D323-F323</f>
        <v>0</v>
      </c>
    </row>
    <row r="324" spans="1:8" s="39" customFormat="1" ht="16.899999999999999" customHeight="1" x14ac:dyDescent="0.25">
      <c r="A324" s="41" t="s">
        <v>4</v>
      </c>
      <c r="B324" s="17" t="s">
        <v>7</v>
      </c>
      <c r="C324" s="28" t="s">
        <v>96</v>
      </c>
      <c r="D324" s="1">
        <v>250000</v>
      </c>
      <c r="E324" s="1"/>
      <c r="F324" s="1">
        <f>250000</f>
        <v>250000</v>
      </c>
      <c r="G324" s="2">
        <f>ROUND(F324/D324*100,2)</f>
        <v>100</v>
      </c>
      <c r="H324" s="42">
        <f>D324-F324</f>
        <v>0</v>
      </c>
    </row>
    <row r="325" spans="1:8" s="39" customFormat="1" ht="16.899999999999999" customHeight="1" x14ac:dyDescent="0.25">
      <c r="A325" s="41" t="s">
        <v>6</v>
      </c>
      <c r="B325" s="17" t="s">
        <v>9</v>
      </c>
      <c r="C325" s="28" t="s">
        <v>96</v>
      </c>
      <c r="D325" s="1">
        <v>50000</v>
      </c>
      <c r="E325" s="1"/>
      <c r="F325" s="1">
        <v>50000</v>
      </c>
      <c r="G325" s="2">
        <f>ROUND(F325/D325*100,2)</f>
        <v>100</v>
      </c>
      <c r="H325" s="42">
        <f>D325-F325</f>
        <v>0</v>
      </c>
    </row>
    <row r="326" spans="1:8" s="39" customFormat="1" ht="16.899999999999999" customHeight="1" x14ac:dyDescent="0.25">
      <c r="A326" s="41"/>
      <c r="B326" s="21" t="s">
        <v>35</v>
      </c>
      <c r="C326" s="28" t="s">
        <v>144</v>
      </c>
      <c r="D326" s="22">
        <f>SUM(D323:D325)</f>
        <v>300000</v>
      </c>
      <c r="E326" s="22">
        <f>SUM(E323:E325)</f>
        <v>0</v>
      </c>
      <c r="F326" s="22">
        <f>SUM(F323:F325)</f>
        <v>300000</v>
      </c>
      <c r="G326" s="3">
        <f>ROUND(F326/D326*100,2)</f>
        <v>100</v>
      </c>
      <c r="H326" s="45">
        <f>SUM(H323:H325)</f>
        <v>0</v>
      </c>
    </row>
    <row r="327" spans="1:8" s="39" customFormat="1" ht="29.25" customHeight="1" x14ac:dyDescent="0.25">
      <c r="A327" s="55"/>
      <c r="B327" s="66" t="s">
        <v>72</v>
      </c>
      <c r="C327" s="67"/>
      <c r="D327" s="67"/>
      <c r="E327" s="67"/>
      <c r="F327" s="67"/>
      <c r="G327" s="67"/>
      <c r="H327" s="68"/>
    </row>
    <row r="328" spans="1:8" s="39" customFormat="1" x14ac:dyDescent="0.25">
      <c r="A328" s="41" t="s">
        <v>50</v>
      </c>
      <c r="B328" s="17" t="s">
        <v>15</v>
      </c>
      <c r="C328" s="28" t="s">
        <v>88</v>
      </c>
      <c r="D328" s="1">
        <f>611570.2</f>
        <v>611570.19999999995</v>
      </c>
      <c r="E328" s="1">
        <v>0</v>
      </c>
      <c r="F328" s="1">
        <f>611570.2</f>
        <v>611570.19999999995</v>
      </c>
      <c r="G328" s="2">
        <f>ROUND(F328/D328*100,2)</f>
        <v>100</v>
      </c>
      <c r="H328" s="42">
        <f>D328-F328</f>
        <v>0</v>
      </c>
    </row>
    <row r="329" spans="1:8" s="39" customFormat="1" x14ac:dyDescent="0.25">
      <c r="A329" s="41" t="s">
        <v>6</v>
      </c>
      <c r="B329" s="17" t="s">
        <v>59</v>
      </c>
      <c r="C329" s="28" t="s">
        <v>88</v>
      </c>
      <c r="D329" s="1">
        <f>4655054.4-4655054.4+343136.88</f>
        <v>343136.88</v>
      </c>
      <c r="E329" s="1">
        <v>0</v>
      </c>
      <c r="F329" s="1">
        <v>343136.88</v>
      </c>
      <c r="G329" s="2">
        <f>ROUND(F329/D329*100,2)</f>
        <v>100</v>
      </c>
      <c r="H329" s="42">
        <f>D329-F329</f>
        <v>0</v>
      </c>
    </row>
    <row r="330" spans="1:8" s="39" customFormat="1" hidden="1" x14ac:dyDescent="0.25">
      <c r="A330" s="41" t="s">
        <v>8</v>
      </c>
      <c r="B330" s="17" t="s">
        <v>27</v>
      </c>
      <c r="C330" s="28" t="s">
        <v>88</v>
      </c>
      <c r="D330" s="1">
        <f>3326301.6-3326301.6</f>
        <v>0</v>
      </c>
      <c r="E330" s="1">
        <v>0</v>
      </c>
      <c r="F330" s="1"/>
      <c r="G330" s="2" t="e">
        <f>ROUND(F330/D330*100,2)</f>
        <v>#DIV/0!</v>
      </c>
      <c r="H330" s="42">
        <f>D330-F330</f>
        <v>0</v>
      </c>
    </row>
    <row r="331" spans="1:8" s="39" customFormat="1" x14ac:dyDescent="0.25">
      <c r="A331" s="41"/>
      <c r="B331" s="21" t="s">
        <v>35</v>
      </c>
      <c r="C331" s="28" t="s">
        <v>134</v>
      </c>
      <c r="D331" s="22">
        <f>SUM(D328:D330)</f>
        <v>954707.08</v>
      </c>
      <c r="E331" s="22">
        <f>SUM(E328:E330)</f>
        <v>0</v>
      </c>
      <c r="F331" s="22">
        <f>SUM(F328:F330)</f>
        <v>954707.08</v>
      </c>
      <c r="G331" s="3">
        <f>ROUND(F331/D331*100,2)</f>
        <v>100</v>
      </c>
      <c r="H331" s="45">
        <f>SUM(H328:H330)</f>
        <v>0</v>
      </c>
    </row>
    <row r="332" spans="1:8" s="39" customFormat="1" ht="48.75" customHeight="1" x14ac:dyDescent="0.25">
      <c r="A332" s="46"/>
      <c r="B332" s="66" t="s">
        <v>111</v>
      </c>
      <c r="C332" s="67"/>
      <c r="D332" s="67"/>
      <c r="E332" s="67"/>
      <c r="F332" s="67"/>
      <c r="G332" s="67"/>
      <c r="H332" s="68"/>
    </row>
    <row r="333" spans="1:8" s="39" customFormat="1" x14ac:dyDescent="0.25">
      <c r="A333" s="41" t="s">
        <v>4</v>
      </c>
      <c r="B333" s="17" t="s">
        <v>15</v>
      </c>
      <c r="C333" s="28" t="s">
        <v>88</v>
      </c>
      <c r="D333" s="27">
        <f>2336568.4-2083503.01</f>
        <v>253065.3899999999</v>
      </c>
      <c r="E333" s="27"/>
      <c r="F333" s="27">
        <f>253065.39</f>
        <v>253065.39</v>
      </c>
      <c r="G333" s="2">
        <f>ROUND(F333/D333*100,2)</f>
        <v>100</v>
      </c>
      <c r="H333" s="42">
        <f>D333-F333</f>
        <v>0</v>
      </c>
    </row>
    <row r="334" spans="1:8" s="39" customFormat="1" x14ac:dyDescent="0.25">
      <c r="A334" s="41" t="s">
        <v>6</v>
      </c>
      <c r="B334" s="17" t="s">
        <v>59</v>
      </c>
      <c r="C334" s="28" t="s">
        <v>88</v>
      </c>
      <c r="D334" s="27">
        <f>2130159.35</f>
        <v>2130159.35</v>
      </c>
      <c r="E334" s="27"/>
      <c r="F334" s="27">
        <v>2130159.35</v>
      </c>
      <c r="G334" s="2">
        <f>ROUND(F334/D334*100,2)</f>
        <v>100</v>
      </c>
      <c r="H334" s="42">
        <f>D334-F334</f>
        <v>0</v>
      </c>
    </row>
    <row r="335" spans="1:8" s="39" customFormat="1" x14ac:dyDescent="0.25">
      <c r="A335" s="41" t="s">
        <v>8</v>
      </c>
      <c r="B335" s="17" t="s">
        <v>27</v>
      </c>
      <c r="C335" s="28" t="s">
        <v>88</v>
      </c>
      <c r="D335" s="27">
        <f>107040</f>
        <v>107040</v>
      </c>
      <c r="E335" s="27"/>
      <c r="F335" s="27">
        <f>107040</f>
        <v>107040</v>
      </c>
      <c r="G335" s="2">
        <f>ROUND(F335/D335*100,2)</f>
        <v>100</v>
      </c>
      <c r="H335" s="42">
        <f>D335-F335</f>
        <v>0</v>
      </c>
    </row>
    <row r="336" spans="1:8" s="39" customFormat="1" x14ac:dyDescent="0.25">
      <c r="A336" s="46"/>
      <c r="B336" s="21" t="s">
        <v>35</v>
      </c>
      <c r="C336" s="28" t="s">
        <v>86</v>
      </c>
      <c r="D336" s="29">
        <f>SUM(D333:D335)</f>
        <v>2490264.7400000002</v>
      </c>
      <c r="E336" s="29">
        <f>SUM(E333:E335)</f>
        <v>0</v>
      </c>
      <c r="F336" s="29">
        <f>SUM(F333:F335)</f>
        <v>2490264.7400000002</v>
      </c>
      <c r="G336" s="3">
        <f>ROUND(F336/D336*100,2)</f>
        <v>100</v>
      </c>
      <c r="H336" s="29">
        <f>SUM(H333:H335)</f>
        <v>0</v>
      </c>
    </row>
    <row r="337" spans="1:8" s="39" customFormat="1" ht="48" customHeight="1" x14ac:dyDescent="0.25">
      <c r="A337" s="41"/>
      <c r="B337" s="65" t="s">
        <v>97</v>
      </c>
      <c r="C337" s="63"/>
      <c r="D337" s="63"/>
      <c r="E337" s="63"/>
      <c r="F337" s="63"/>
      <c r="G337" s="63"/>
      <c r="H337" s="64"/>
    </row>
    <row r="338" spans="1:8" s="39" customFormat="1" ht="16.899999999999999" customHeight="1" x14ac:dyDescent="0.25">
      <c r="A338" s="41" t="s">
        <v>50</v>
      </c>
      <c r="B338" s="17" t="s">
        <v>5</v>
      </c>
      <c r="C338" s="28" t="s">
        <v>98</v>
      </c>
      <c r="D338" s="1">
        <v>8173551.2300000004</v>
      </c>
      <c r="E338" s="1"/>
      <c r="F338" s="1">
        <v>8173551.2300000004</v>
      </c>
      <c r="G338" s="2">
        <f>ROUND(F338/D338*100,2)</f>
        <v>100</v>
      </c>
      <c r="H338" s="42">
        <f>D338-F338</f>
        <v>0</v>
      </c>
    </row>
    <row r="339" spans="1:8" s="39" customFormat="1" ht="16.899999999999999" customHeight="1" x14ac:dyDescent="0.25">
      <c r="A339" s="41" t="s">
        <v>6</v>
      </c>
      <c r="B339" s="17" t="s">
        <v>15</v>
      </c>
      <c r="C339" s="28" t="s">
        <v>99</v>
      </c>
      <c r="D339" s="1">
        <f>340564.63+4659435.37+1073569.37</f>
        <v>6073569.3700000001</v>
      </c>
      <c r="E339" s="1"/>
      <c r="F339" s="1">
        <f>6073569.37</f>
        <v>6073569.3700000001</v>
      </c>
      <c r="G339" s="2">
        <f>ROUND(F339/D339*100,2)</f>
        <v>100</v>
      </c>
      <c r="H339" s="42">
        <f>D339-F339</f>
        <v>0</v>
      </c>
    </row>
    <row r="340" spans="1:8" s="39" customFormat="1" ht="16.899999999999999" customHeight="1" x14ac:dyDescent="0.25">
      <c r="A340" s="41" t="s">
        <v>8</v>
      </c>
      <c r="B340" s="17" t="s">
        <v>59</v>
      </c>
      <c r="C340" s="28" t="s">
        <v>99</v>
      </c>
      <c r="D340" s="1">
        <f>1357470.63</f>
        <v>1357470.63</v>
      </c>
      <c r="E340" s="1"/>
      <c r="F340" s="1">
        <v>1357470.63</v>
      </c>
      <c r="G340" s="2">
        <f>ROUND(F340/D340*100,2)</f>
        <v>100</v>
      </c>
      <c r="H340" s="42">
        <f>D340-F340</f>
        <v>0</v>
      </c>
    </row>
    <row r="341" spans="1:8" s="39" customFormat="1" ht="16.899999999999999" customHeight="1" x14ac:dyDescent="0.25">
      <c r="A341" s="41" t="s">
        <v>10</v>
      </c>
      <c r="B341" s="17" t="s">
        <v>27</v>
      </c>
      <c r="C341" s="28" t="s">
        <v>99</v>
      </c>
      <c r="D341" s="1">
        <f>5000000-2431040</f>
        <v>2568960</v>
      </c>
      <c r="E341" s="1"/>
      <c r="F341" s="1">
        <f>2568960</f>
        <v>2568960</v>
      </c>
      <c r="G341" s="2">
        <f>ROUND(F341/D341*100,2)</f>
        <v>100</v>
      </c>
      <c r="H341" s="42">
        <f>D341-F341</f>
        <v>0</v>
      </c>
    </row>
    <row r="342" spans="1:8" s="39" customFormat="1" ht="16.899999999999999" customHeight="1" x14ac:dyDescent="0.25">
      <c r="A342" s="41"/>
      <c r="B342" s="21" t="s">
        <v>35</v>
      </c>
      <c r="C342" s="28" t="s">
        <v>145</v>
      </c>
      <c r="D342" s="22">
        <f>SUM(D338:D341)</f>
        <v>18173551.23</v>
      </c>
      <c r="E342" s="22">
        <f>SUM(E338:E341)</f>
        <v>0</v>
      </c>
      <c r="F342" s="22">
        <f>SUM(F338:F341)</f>
        <v>18173551.23</v>
      </c>
      <c r="G342" s="3">
        <f>ROUND(F342/D342*100,2)</f>
        <v>100</v>
      </c>
      <c r="H342" s="45">
        <f>SUM(H338:H341)</f>
        <v>0</v>
      </c>
    </row>
    <row r="343" spans="1:8" s="39" customFormat="1" ht="49.5" customHeight="1" x14ac:dyDescent="0.25">
      <c r="A343" s="41"/>
      <c r="B343" s="62" t="s">
        <v>69</v>
      </c>
      <c r="C343" s="63"/>
      <c r="D343" s="63"/>
      <c r="E343" s="63"/>
      <c r="F343" s="63"/>
      <c r="G343" s="63"/>
      <c r="H343" s="64"/>
    </row>
    <row r="344" spans="1:8" s="39" customFormat="1" ht="16.899999999999999" customHeight="1" x14ac:dyDescent="0.25">
      <c r="A344" s="41" t="s">
        <v>50</v>
      </c>
      <c r="B344" s="17" t="s">
        <v>7</v>
      </c>
      <c r="C344" s="28" t="s">
        <v>146</v>
      </c>
      <c r="D344" s="1">
        <v>410000</v>
      </c>
      <c r="E344" s="1"/>
      <c r="F344" s="1">
        <f>410000</f>
        <v>410000</v>
      </c>
      <c r="G344" s="2">
        <f>ROUND(F344/D344*100,2)</f>
        <v>100</v>
      </c>
      <c r="H344" s="42">
        <f>D344-F344</f>
        <v>0</v>
      </c>
    </row>
    <row r="345" spans="1:8" s="39" customFormat="1" ht="16.899999999999999" customHeight="1" x14ac:dyDescent="0.25">
      <c r="A345" s="41" t="s">
        <v>6</v>
      </c>
      <c r="B345" s="17" t="s">
        <v>23</v>
      </c>
      <c r="C345" s="28" t="s">
        <v>101</v>
      </c>
      <c r="D345" s="1">
        <v>3835135.6</v>
      </c>
      <c r="E345" s="1"/>
      <c r="F345" s="1">
        <f>883305.92+1880662.8+649860+345000+0.17</f>
        <v>3758828.89</v>
      </c>
      <c r="G345" s="2">
        <f>ROUND(F345/D345*100,2)</f>
        <v>98.01</v>
      </c>
      <c r="H345" s="42">
        <f>D345-F345</f>
        <v>76306.709999999963</v>
      </c>
    </row>
    <row r="346" spans="1:8" s="39" customFormat="1" ht="16.899999999999999" hidden="1" customHeight="1" x14ac:dyDescent="0.25">
      <c r="A346" s="41" t="s">
        <v>8</v>
      </c>
      <c r="B346" s="17" t="s">
        <v>31</v>
      </c>
      <c r="C346" s="28" t="s">
        <v>101</v>
      </c>
      <c r="D346" s="1"/>
      <c r="E346" s="1"/>
      <c r="F346" s="1"/>
      <c r="G346" s="2" t="e">
        <f>ROUND(F346/D346*100,2)</f>
        <v>#DIV/0!</v>
      </c>
      <c r="H346" s="42">
        <f>D346-F346</f>
        <v>0</v>
      </c>
    </row>
    <row r="347" spans="1:8" s="39" customFormat="1" ht="16.899999999999999" hidden="1" customHeight="1" x14ac:dyDescent="0.25">
      <c r="A347" s="41" t="s">
        <v>10</v>
      </c>
      <c r="B347" s="17"/>
      <c r="C347" s="28" t="s">
        <v>101</v>
      </c>
      <c r="D347" s="1"/>
      <c r="E347" s="1"/>
      <c r="F347" s="1"/>
      <c r="G347" s="2" t="e">
        <f>ROUND(F347/D347*100,2)</f>
        <v>#DIV/0!</v>
      </c>
      <c r="H347" s="42">
        <f>D347-F347</f>
        <v>0</v>
      </c>
    </row>
    <row r="348" spans="1:8" s="39" customFormat="1" ht="15.6" customHeight="1" x14ac:dyDescent="0.25">
      <c r="A348" s="41"/>
      <c r="B348" s="21" t="s">
        <v>35</v>
      </c>
      <c r="C348" s="28" t="s">
        <v>147</v>
      </c>
      <c r="D348" s="22">
        <f>SUM(D344:D347)</f>
        <v>4245135.5999999996</v>
      </c>
      <c r="E348" s="22">
        <f>SUM(E344:E347)</f>
        <v>0</v>
      </c>
      <c r="F348" s="22">
        <f>SUM(F344:F347)</f>
        <v>4168828.89</v>
      </c>
      <c r="G348" s="3">
        <f>ROUND(F348/D348*100,2)</f>
        <v>98.2</v>
      </c>
      <c r="H348" s="45">
        <f>SUM(H344:H347)</f>
        <v>76306.709999999963</v>
      </c>
    </row>
    <row r="349" spans="1:8" s="39" customFormat="1" ht="111" customHeight="1" x14ac:dyDescent="0.25">
      <c r="A349" s="41"/>
      <c r="B349" s="62" t="s">
        <v>148</v>
      </c>
      <c r="C349" s="63"/>
      <c r="D349" s="63"/>
      <c r="E349" s="63"/>
      <c r="F349" s="63"/>
      <c r="G349" s="63"/>
      <c r="H349" s="64"/>
    </row>
    <row r="350" spans="1:8" s="39" customFormat="1" ht="15.6" customHeight="1" x14ac:dyDescent="0.25">
      <c r="A350" s="41" t="s">
        <v>50</v>
      </c>
      <c r="B350" s="17" t="s">
        <v>5</v>
      </c>
      <c r="C350" s="28" t="s">
        <v>149</v>
      </c>
      <c r="D350" s="1">
        <f>35454999.64</f>
        <v>35454999.640000001</v>
      </c>
      <c r="E350" s="1"/>
      <c r="F350" s="1">
        <f>18138679.15+17316320.49</f>
        <v>35454999.640000001</v>
      </c>
      <c r="G350" s="2">
        <f>ROUND(F350/D350*100,2)</f>
        <v>100</v>
      </c>
      <c r="H350" s="42">
        <f>D350-F350</f>
        <v>0</v>
      </c>
    </row>
    <row r="351" spans="1:8" s="39" customFormat="1" ht="15.6" customHeight="1" x14ac:dyDescent="0.25">
      <c r="A351" s="41" t="s">
        <v>6</v>
      </c>
      <c r="B351" s="17" t="s">
        <v>7</v>
      </c>
      <c r="C351" s="28" t="s">
        <v>149</v>
      </c>
      <c r="D351" s="1">
        <f>3317653.48-361896.08</f>
        <v>2955757.4</v>
      </c>
      <c r="E351" s="1"/>
      <c r="F351" s="1">
        <f>2955757.4</f>
        <v>2955757.4</v>
      </c>
      <c r="G351" s="2">
        <f>ROUND(F351/D351*100,2)</f>
        <v>100</v>
      </c>
      <c r="H351" s="42">
        <f>D351-F351</f>
        <v>0</v>
      </c>
    </row>
    <row r="352" spans="1:8" s="39" customFormat="1" ht="16.899999999999999" customHeight="1" x14ac:dyDescent="0.25">
      <c r="A352" s="41" t="s">
        <v>8</v>
      </c>
      <c r="B352" s="17" t="s">
        <v>9</v>
      </c>
      <c r="C352" s="28" t="s">
        <v>149</v>
      </c>
      <c r="D352" s="1">
        <v>3000000</v>
      </c>
      <c r="E352" s="1"/>
      <c r="F352" s="1">
        <f>3000000</f>
        <v>3000000</v>
      </c>
      <c r="G352" s="2">
        <f>ROUND(F352/D352*100,2)</f>
        <v>100</v>
      </c>
      <c r="H352" s="42">
        <f>D352-F352</f>
        <v>0</v>
      </c>
    </row>
    <row r="353" spans="1:8" s="39" customFormat="1" ht="15.6" customHeight="1" x14ac:dyDescent="0.25">
      <c r="A353" s="41" t="s">
        <v>10</v>
      </c>
      <c r="B353" s="17" t="s">
        <v>23</v>
      </c>
      <c r="C353" s="28" t="s">
        <v>100</v>
      </c>
      <c r="D353" s="1">
        <f>2000000+361896.08</f>
        <v>2361896.08</v>
      </c>
      <c r="E353" s="1"/>
      <c r="F353" s="1">
        <f>2361896.08</f>
        <v>2361896.08</v>
      </c>
      <c r="G353" s="2">
        <f>ROUND(F353/D353*100,2)</f>
        <v>100</v>
      </c>
      <c r="H353" s="42">
        <f>D353-F353</f>
        <v>0</v>
      </c>
    </row>
    <row r="354" spans="1:8" s="39" customFormat="1" ht="15.6" customHeight="1" x14ac:dyDescent="0.25">
      <c r="A354" s="41"/>
      <c r="B354" s="21" t="s">
        <v>35</v>
      </c>
      <c r="C354" s="28" t="s">
        <v>150</v>
      </c>
      <c r="D354" s="22">
        <f>SUM(D350:D353)</f>
        <v>43772653.119999997</v>
      </c>
      <c r="E354" s="22">
        <f>SUM(E350:E353)</f>
        <v>0</v>
      </c>
      <c r="F354" s="22">
        <f>SUM(F350:F353)</f>
        <v>43772653.119999997</v>
      </c>
      <c r="G354" s="3">
        <f>ROUND(F354/D354*100,2)</f>
        <v>100</v>
      </c>
      <c r="H354" s="45">
        <f>SUM(H350:H353)</f>
        <v>0</v>
      </c>
    </row>
    <row r="355" spans="1:8" s="39" customFormat="1" ht="48" customHeight="1" x14ac:dyDescent="0.25">
      <c r="A355" s="46"/>
      <c r="B355" s="66" t="s">
        <v>104</v>
      </c>
      <c r="C355" s="67"/>
      <c r="D355" s="67"/>
      <c r="E355" s="67"/>
      <c r="F355" s="67"/>
      <c r="G355" s="67"/>
      <c r="H355" s="68"/>
    </row>
    <row r="356" spans="1:8" s="39" customFormat="1" x14ac:dyDescent="0.25">
      <c r="A356" s="41" t="s">
        <v>4</v>
      </c>
      <c r="B356" s="17" t="s">
        <v>15</v>
      </c>
      <c r="C356" s="28" t="s">
        <v>151</v>
      </c>
      <c r="D356" s="27">
        <f>500000</f>
        <v>500000</v>
      </c>
      <c r="E356" s="27"/>
      <c r="F356" s="27">
        <v>500000</v>
      </c>
      <c r="G356" s="2">
        <f>ROUND(F356/D356*100,2)</f>
        <v>100</v>
      </c>
      <c r="H356" s="42">
        <f>D356-F356</f>
        <v>0</v>
      </c>
    </row>
    <row r="357" spans="1:8" s="39" customFormat="1" x14ac:dyDescent="0.25">
      <c r="A357" s="41" t="s">
        <v>6</v>
      </c>
      <c r="B357" s="17" t="s">
        <v>23</v>
      </c>
      <c r="C357" s="28" t="s">
        <v>151</v>
      </c>
      <c r="D357" s="27">
        <f>75000</f>
        <v>75000</v>
      </c>
      <c r="E357" s="27"/>
      <c r="F357" s="27">
        <f>75000</f>
        <v>75000</v>
      </c>
      <c r="G357" s="2">
        <f>ROUND(F357/D357*100,2)</f>
        <v>100</v>
      </c>
      <c r="H357" s="42">
        <f>D357-F357</f>
        <v>0</v>
      </c>
    </row>
    <row r="358" spans="1:8" s="39" customFormat="1" x14ac:dyDescent="0.25">
      <c r="A358" s="41" t="s">
        <v>8</v>
      </c>
      <c r="B358" s="17" t="s">
        <v>29</v>
      </c>
      <c r="C358" s="28" t="s">
        <v>151</v>
      </c>
      <c r="D358" s="27">
        <f>100000</f>
        <v>100000</v>
      </c>
      <c r="E358" s="27"/>
      <c r="F358" s="27">
        <f>100000</f>
        <v>100000</v>
      </c>
      <c r="G358" s="2">
        <f>ROUND(F358/D358*100,2)</f>
        <v>100</v>
      </c>
      <c r="H358" s="42">
        <f>D358-F358</f>
        <v>0</v>
      </c>
    </row>
    <row r="359" spans="1:8" s="39" customFormat="1" x14ac:dyDescent="0.25">
      <c r="A359" s="46"/>
      <c r="B359" s="21" t="s">
        <v>35</v>
      </c>
      <c r="C359" s="28" t="s">
        <v>152</v>
      </c>
      <c r="D359" s="29">
        <f>SUM(D356:D358)</f>
        <v>675000</v>
      </c>
      <c r="E359" s="29">
        <f>SUM(E356:E358)</f>
        <v>0</v>
      </c>
      <c r="F359" s="29">
        <f>SUM(F356:F358)</f>
        <v>675000</v>
      </c>
      <c r="G359" s="3">
        <f>ROUND(F359/D359*100,2)</f>
        <v>100</v>
      </c>
      <c r="H359" s="49">
        <f>SUM(H356:H358)</f>
        <v>0</v>
      </c>
    </row>
    <row r="360" spans="1:8" s="39" customFormat="1" ht="38.25" hidden="1" customHeight="1" x14ac:dyDescent="0.25">
      <c r="A360" s="41"/>
      <c r="B360" s="62" t="s">
        <v>102</v>
      </c>
      <c r="C360" s="63"/>
      <c r="D360" s="63"/>
      <c r="E360" s="63"/>
      <c r="F360" s="63"/>
      <c r="G360" s="63"/>
      <c r="H360" s="64"/>
    </row>
    <row r="361" spans="1:8" s="39" customFormat="1" ht="16.899999999999999" hidden="1" customHeight="1" x14ac:dyDescent="0.25">
      <c r="A361" s="41" t="s">
        <v>50</v>
      </c>
      <c r="B361" s="17"/>
      <c r="C361" s="28" t="s">
        <v>103</v>
      </c>
      <c r="D361" s="1"/>
      <c r="E361" s="1"/>
      <c r="F361" s="1"/>
      <c r="G361" s="2" t="e">
        <f t="shared" ref="G361:G367" si="37">ROUND(F361/D361*100,2)</f>
        <v>#DIV/0!</v>
      </c>
      <c r="H361" s="42">
        <f t="shared" ref="H361:H366" si="38">D361-F361</f>
        <v>0</v>
      </c>
    </row>
    <row r="362" spans="1:8" s="39" customFormat="1" ht="16.899999999999999" hidden="1" customHeight="1" x14ac:dyDescent="0.25">
      <c r="A362" s="41" t="s">
        <v>6</v>
      </c>
      <c r="B362" s="17"/>
      <c r="C362" s="28" t="s">
        <v>103</v>
      </c>
      <c r="D362" s="1"/>
      <c r="E362" s="1"/>
      <c r="F362" s="1"/>
      <c r="G362" s="2" t="e">
        <f t="shared" si="37"/>
        <v>#DIV/0!</v>
      </c>
      <c r="H362" s="42">
        <f t="shared" si="38"/>
        <v>0</v>
      </c>
    </row>
    <row r="363" spans="1:8" s="39" customFormat="1" ht="16.899999999999999" hidden="1" customHeight="1" x14ac:dyDescent="0.25">
      <c r="A363" s="41" t="s">
        <v>8</v>
      </c>
      <c r="B363" s="17"/>
      <c r="C363" s="28" t="s">
        <v>103</v>
      </c>
      <c r="D363" s="1"/>
      <c r="E363" s="1"/>
      <c r="F363" s="1"/>
      <c r="G363" s="2" t="e">
        <f t="shared" si="37"/>
        <v>#DIV/0!</v>
      </c>
      <c r="H363" s="42">
        <f t="shared" si="38"/>
        <v>0</v>
      </c>
    </row>
    <row r="364" spans="1:8" s="39" customFormat="1" ht="16.899999999999999" hidden="1" customHeight="1" x14ac:dyDescent="0.25">
      <c r="A364" s="41" t="s">
        <v>10</v>
      </c>
      <c r="B364" s="17"/>
      <c r="C364" s="28" t="s">
        <v>103</v>
      </c>
      <c r="D364" s="1"/>
      <c r="E364" s="1"/>
      <c r="F364" s="1"/>
      <c r="G364" s="2" t="e">
        <f t="shared" si="37"/>
        <v>#DIV/0!</v>
      </c>
      <c r="H364" s="42">
        <f t="shared" si="38"/>
        <v>0</v>
      </c>
    </row>
    <row r="365" spans="1:8" s="39" customFormat="1" ht="16.899999999999999" hidden="1" customHeight="1" x14ac:dyDescent="0.25">
      <c r="A365" s="41" t="s">
        <v>12</v>
      </c>
      <c r="B365" s="17"/>
      <c r="C365" s="28" t="s">
        <v>103</v>
      </c>
      <c r="D365" s="1"/>
      <c r="E365" s="1"/>
      <c r="F365" s="1"/>
      <c r="G365" s="2" t="e">
        <f t="shared" si="37"/>
        <v>#DIV/0!</v>
      </c>
      <c r="H365" s="42">
        <f t="shared" si="38"/>
        <v>0</v>
      </c>
    </row>
    <row r="366" spans="1:8" s="39" customFormat="1" ht="16.899999999999999" hidden="1" customHeight="1" x14ac:dyDescent="0.25">
      <c r="A366" s="41" t="s">
        <v>14</v>
      </c>
      <c r="B366" s="17"/>
      <c r="C366" s="28" t="s">
        <v>103</v>
      </c>
      <c r="D366" s="1"/>
      <c r="E366" s="1"/>
      <c r="F366" s="1"/>
      <c r="G366" s="2" t="e">
        <f t="shared" si="37"/>
        <v>#DIV/0!</v>
      </c>
      <c r="H366" s="42">
        <f t="shared" si="38"/>
        <v>0</v>
      </c>
    </row>
    <row r="367" spans="1:8" s="39" customFormat="1" ht="15.6" hidden="1" customHeight="1" x14ac:dyDescent="0.25">
      <c r="A367" s="41"/>
      <c r="B367" s="21" t="s">
        <v>35</v>
      </c>
      <c r="C367" s="28" t="s">
        <v>153</v>
      </c>
      <c r="D367" s="22">
        <f>SUM(D361:D366)</f>
        <v>0</v>
      </c>
      <c r="E367" s="22">
        <f>SUM(E361:E366)</f>
        <v>0</v>
      </c>
      <c r="F367" s="22">
        <f>SUM(F361:F366)</f>
        <v>0</v>
      </c>
      <c r="G367" s="3" t="e">
        <f t="shared" si="37"/>
        <v>#DIV/0!</v>
      </c>
      <c r="H367" s="45">
        <f>SUM(H361:H366)</f>
        <v>0</v>
      </c>
    </row>
    <row r="368" spans="1:8" s="39" customFormat="1" ht="48" customHeight="1" x14ac:dyDescent="0.25">
      <c r="A368" s="41"/>
      <c r="B368" s="62" t="s">
        <v>105</v>
      </c>
      <c r="C368" s="63"/>
      <c r="D368" s="63"/>
      <c r="E368" s="63"/>
      <c r="F368" s="63"/>
      <c r="G368" s="63"/>
      <c r="H368" s="64"/>
    </row>
    <row r="369" spans="1:8" s="39" customFormat="1" ht="16.899999999999999" customHeight="1" x14ac:dyDescent="0.25">
      <c r="A369" s="41" t="s">
        <v>50</v>
      </c>
      <c r="B369" s="17" t="s">
        <v>59</v>
      </c>
      <c r="C369" s="28" t="s">
        <v>106</v>
      </c>
      <c r="D369" s="1">
        <f>950000+9050000</f>
        <v>10000000</v>
      </c>
      <c r="E369" s="1"/>
      <c r="F369" s="1">
        <f>950000+9019477.91+30522.09</f>
        <v>10000000</v>
      </c>
      <c r="G369" s="2">
        <f>ROUND(F369/D369*100,2)</f>
        <v>100</v>
      </c>
      <c r="H369" s="42">
        <f>D369-F369</f>
        <v>0</v>
      </c>
    </row>
    <row r="370" spans="1:8" s="39" customFormat="1" ht="16.899999999999999" hidden="1" customHeight="1" x14ac:dyDescent="0.25">
      <c r="A370" s="41" t="s">
        <v>6</v>
      </c>
      <c r="B370" s="17"/>
      <c r="C370" s="28" t="s">
        <v>107</v>
      </c>
      <c r="D370" s="1"/>
      <c r="E370" s="1"/>
      <c r="F370" s="1"/>
      <c r="G370" s="2" t="e">
        <f>ROUND(F370/D370*100,2)</f>
        <v>#DIV/0!</v>
      </c>
      <c r="H370" s="42">
        <f>D370-F370</f>
        <v>0</v>
      </c>
    </row>
    <row r="371" spans="1:8" s="39" customFormat="1" ht="15.6" customHeight="1" x14ac:dyDescent="0.25">
      <c r="A371" s="41"/>
      <c r="B371" s="21" t="s">
        <v>35</v>
      </c>
      <c r="C371" s="28" t="s">
        <v>154</v>
      </c>
      <c r="D371" s="22">
        <f>SUM(D369:D370)</f>
        <v>10000000</v>
      </c>
      <c r="E371" s="22">
        <f>SUM(E369:E370)</f>
        <v>0</v>
      </c>
      <c r="F371" s="22">
        <f>SUM(F369:F370)</f>
        <v>10000000</v>
      </c>
      <c r="G371" s="3">
        <f>ROUND(F371/D371*100,2)</f>
        <v>100</v>
      </c>
      <c r="H371" s="45">
        <f>SUM(H369:H370)</f>
        <v>0</v>
      </c>
    </row>
    <row r="372" spans="1:8" s="39" customFormat="1" ht="33" customHeight="1" x14ac:dyDescent="0.25">
      <c r="A372" s="41"/>
      <c r="B372" s="62" t="s">
        <v>155</v>
      </c>
      <c r="C372" s="63"/>
      <c r="D372" s="63"/>
      <c r="E372" s="63"/>
      <c r="F372" s="63"/>
      <c r="G372" s="63"/>
      <c r="H372" s="64"/>
    </row>
    <row r="373" spans="1:8" s="39" customFormat="1" ht="16.899999999999999" customHeight="1" x14ac:dyDescent="0.25">
      <c r="A373" s="41" t="s">
        <v>50</v>
      </c>
      <c r="B373" s="17" t="s">
        <v>29</v>
      </c>
      <c r="C373" s="28" t="s">
        <v>156</v>
      </c>
      <c r="D373" s="1">
        <v>500000</v>
      </c>
      <c r="E373" s="1"/>
      <c r="F373" s="1">
        <f>500000</f>
        <v>500000</v>
      </c>
      <c r="G373" s="2">
        <f>ROUND(F373/D373*100,2)</f>
        <v>100</v>
      </c>
      <c r="H373" s="42">
        <f>D373-F373</f>
        <v>0</v>
      </c>
    </row>
    <row r="374" spans="1:8" s="39" customFormat="1" ht="16.899999999999999" hidden="1" customHeight="1" x14ac:dyDescent="0.25">
      <c r="A374" s="41" t="s">
        <v>6</v>
      </c>
      <c r="B374" s="17"/>
      <c r="C374" s="28" t="s">
        <v>157</v>
      </c>
      <c r="D374" s="1"/>
      <c r="E374" s="1"/>
      <c r="F374" s="1"/>
      <c r="G374" s="2" t="e">
        <f>ROUND(F374/D374*100,2)</f>
        <v>#DIV/0!</v>
      </c>
      <c r="H374" s="42">
        <f>D374-F374</f>
        <v>0</v>
      </c>
    </row>
    <row r="375" spans="1:8" s="39" customFormat="1" ht="15.6" customHeight="1" x14ac:dyDescent="0.25">
      <c r="A375" s="41"/>
      <c r="B375" s="21" t="s">
        <v>35</v>
      </c>
      <c r="C375" s="28" t="s">
        <v>158</v>
      </c>
      <c r="D375" s="22">
        <f>SUM(D373:D374)</f>
        <v>500000</v>
      </c>
      <c r="E375" s="22">
        <f>SUM(E373:E374)</f>
        <v>0</v>
      </c>
      <c r="F375" s="22">
        <f>SUM(F373:F374)</f>
        <v>500000</v>
      </c>
      <c r="G375" s="2">
        <f>ROUND(F375/D375*100,2)</f>
        <v>100</v>
      </c>
      <c r="H375" s="45">
        <f>SUM(H373:H374)</f>
        <v>0</v>
      </c>
    </row>
    <row r="376" spans="1:8" s="39" customFormat="1" ht="66" customHeight="1" x14ac:dyDescent="0.25">
      <c r="A376" s="41"/>
      <c r="B376" s="62" t="s">
        <v>73</v>
      </c>
      <c r="C376" s="63"/>
      <c r="D376" s="63"/>
      <c r="E376" s="63"/>
      <c r="F376" s="63"/>
      <c r="G376" s="63"/>
      <c r="H376" s="64"/>
    </row>
    <row r="377" spans="1:8" s="39" customFormat="1" ht="16.899999999999999" customHeight="1" x14ac:dyDescent="0.25">
      <c r="A377" s="41" t="s">
        <v>50</v>
      </c>
      <c r="B377" s="17" t="s">
        <v>7</v>
      </c>
      <c r="C377" s="28" t="s">
        <v>159</v>
      </c>
      <c r="D377" s="1">
        <v>1078947</v>
      </c>
      <c r="E377" s="1"/>
      <c r="F377" s="1">
        <f>1078947</f>
        <v>1078947</v>
      </c>
      <c r="G377" s="2">
        <f>ROUND(F377/D377*100,2)</f>
        <v>100</v>
      </c>
      <c r="H377" s="42">
        <f>D377-F377</f>
        <v>0</v>
      </c>
    </row>
    <row r="378" spans="1:8" s="39" customFormat="1" ht="16.899999999999999" customHeight="1" x14ac:dyDescent="0.25">
      <c r="A378" s="41" t="s">
        <v>6</v>
      </c>
      <c r="B378" s="17" t="s">
        <v>9</v>
      </c>
      <c r="C378" s="28"/>
      <c r="D378" s="1">
        <v>1078947</v>
      </c>
      <c r="E378" s="1"/>
      <c r="F378" s="1">
        <f>1078947</f>
        <v>1078947</v>
      </c>
      <c r="G378" s="2">
        <f>ROUND(F378/D378*100,2)</f>
        <v>100</v>
      </c>
      <c r="H378" s="42">
        <f>D378-F378</f>
        <v>0</v>
      </c>
    </row>
    <row r="379" spans="1:8" s="39" customFormat="1" ht="16.899999999999999" customHeight="1" x14ac:dyDescent="0.25">
      <c r="A379" s="41" t="s">
        <v>8</v>
      </c>
      <c r="B379" s="17" t="s">
        <v>17</v>
      </c>
      <c r="C379" s="28"/>
      <c r="D379" s="1">
        <v>1078947</v>
      </c>
      <c r="E379" s="1"/>
      <c r="F379" s="1">
        <f>1078947</f>
        <v>1078947</v>
      </c>
      <c r="G379" s="2">
        <f>ROUND(F379/D379*100,2)</f>
        <v>100</v>
      </c>
      <c r="H379" s="42">
        <f>D379-F379</f>
        <v>0</v>
      </c>
    </row>
    <row r="380" spans="1:8" s="39" customFormat="1" ht="16.899999999999999" customHeight="1" x14ac:dyDescent="0.25">
      <c r="A380" s="41" t="s">
        <v>10</v>
      </c>
      <c r="B380" s="17" t="s">
        <v>59</v>
      </c>
      <c r="C380" s="28" t="s">
        <v>157</v>
      </c>
      <c r="D380" s="1">
        <v>1078947</v>
      </c>
      <c r="E380" s="1"/>
      <c r="F380" s="1">
        <f>1078947</f>
        <v>1078947</v>
      </c>
      <c r="G380" s="2">
        <f>ROUND(F380/D380*100,2)</f>
        <v>100</v>
      </c>
      <c r="H380" s="42">
        <f>D380-F380</f>
        <v>0</v>
      </c>
    </row>
    <row r="381" spans="1:8" s="39" customFormat="1" ht="15.6" customHeight="1" x14ac:dyDescent="0.25">
      <c r="A381" s="41"/>
      <c r="B381" s="21" t="s">
        <v>35</v>
      </c>
      <c r="C381" s="28" t="s">
        <v>157</v>
      </c>
      <c r="D381" s="22">
        <f>SUM(D377:D380)</f>
        <v>4315788</v>
      </c>
      <c r="E381" s="22">
        <f>SUM(E377:E380)</f>
        <v>0</v>
      </c>
      <c r="F381" s="22">
        <f>SUM(F377:F380)</f>
        <v>4315788</v>
      </c>
      <c r="G381" s="2">
        <f>ROUND(F381/D381*100,2)</f>
        <v>100</v>
      </c>
      <c r="H381" s="45">
        <f>SUM(H377:H380)</f>
        <v>0</v>
      </c>
    </row>
    <row r="382" spans="1:8" s="39" customFormat="1" ht="126" customHeight="1" x14ac:dyDescent="0.25">
      <c r="A382" s="41"/>
      <c r="B382" s="62" t="s">
        <v>160</v>
      </c>
      <c r="C382" s="63"/>
      <c r="D382" s="63"/>
      <c r="E382" s="63"/>
      <c r="F382" s="63"/>
      <c r="G382" s="63"/>
      <c r="H382" s="64"/>
    </row>
    <row r="383" spans="1:8" s="39" customFormat="1" ht="16.899999999999999" customHeight="1" x14ac:dyDescent="0.25">
      <c r="A383" s="41" t="s">
        <v>50</v>
      </c>
      <c r="B383" s="17" t="s">
        <v>13</v>
      </c>
      <c r="C383" s="28" t="s">
        <v>88</v>
      </c>
      <c r="D383" s="1">
        <f>1000000-297001.6</f>
        <v>702998.4</v>
      </c>
      <c r="E383" s="1"/>
      <c r="F383" s="1">
        <f>702998.4</f>
        <v>702998.4</v>
      </c>
      <c r="G383" s="2">
        <f>ROUND(F383/D383*100,2)</f>
        <v>100</v>
      </c>
      <c r="H383" s="42">
        <f>D383-F383</f>
        <v>0</v>
      </c>
    </row>
    <row r="384" spans="1:8" s="39" customFormat="1" ht="16.899999999999999" hidden="1" customHeight="1" x14ac:dyDescent="0.25">
      <c r="A384" s="41" t="s">
        <v>6</v>
      </c>
      <c r="B384" s="17"/>
      <c r="C384" s="28"/>
      <c r="D384" s="1"/>
      <c r="E384" s="1"/>
      <c r="F384" s="1"/>
      <c r="G384" s="2" t="e">
        <f>ROUND(F384/D384*100,2)</f>
        <v>#DIV/0!</v>
      </c>
      <c r="H384" s="42">
        <f>D384-F384</f>
        <v>0</v>
      </c>
    </row>
    <row r="385" spans="1:8" s="39" customFormat="1" ht="15.6" customHeight="1" x14ac:dyDescent="0.25">
      <c r="A385" s="41"/>
      <c r="B385" s="21" t="s">
        <v>35</v>
      </c>
      <c r="C385" s="28" t="s">
        <v>86</v>
      </c>
      <c r="D385" s="22">
        <f>SUM(D383:D384)</f>
        <v>702998.4</v>
      </c>
      <c r="E385" s="22">
        <f>SUM(E383:E384)</f>
        <v>0</v>
      </c>
      <c r="F385" s="22">
        <f>SUM(F383:F384)</f>
        <v>702998.4</v>
      </c>
      <c r="G385" s="3">
        <f>ROUND(F385/D385*100,2)</f>
        <v>100</v>
      </c>
      <c r="H385" s="45">
        <f>SUM(H383:H384)</f>
        <v>0</v>
      </c>
    </row>
    <row r="386" spans="1:8" s="11" customFormat="1" ht="16.5" thickBot="1" x14ac:dyDescent="0.3">
      <c r="A386" s="56"/>
      <c r="B386" s="57" t="s">
        <v>53</v>
      </c>
      <c r="C386" s="58"/>
      <c r="D386" s="59">
        <f>D25+D42+D56+D70+D73+D87+D101+D115+D129+D143+D157+D171+D174+D188+D193+D207+D211+D215+D220+D227+D231+D247+D262+D277+D294+D311+D317+D321+D326+D331+D342+D336+D354+D348+D367+D359+D371+D375+D381+D385</f>
        <v>302896127.38999999</v>
      </c>
      <c r="E386" s="59">
        <f>E25+E42+E56+E70+E73+E87+E101+E115+E129+E143+E157+E171+E174+E188+E193+E207+E211+E215+E220+E227+E231+E247+E262+E277+E294+E311+E317+E321+E326+E331+E342+E336+E354+E348+E367+E359+E371+E375+E381+E385</f>
        <v>78880987</v>
      </c>
      <c r="F386" s="59">
        <f>F25+F42+F56+F70+F73+F87+F101+F115+F129+F143+F157+F171+F174+F188+F193+F207+F211+F215+F220+F227+F231+F247+F262+F277+F294+F311+F317+F321+F326+F331+F342+F336+F354+F348+F367+F359+F371+F375+F381+F385</f>
        <v>288262028.76999998</v>
      </c>
      <c r="G386" s="60">
        <f>ROUND(F386/D386*100,2)</f>
        <v>95.17</v>
      </c>
      <c r="H386" s="59">
        <f>H25+H42+H56+H70+H73+H87+H101+H115+H129+H143+H157+H171+H174+H188+H193+H207+H211+H215+H220+H227+H231+H247+H262+H277+H294+H311+H317+H321+H326+H331+H342+H336+H354+H348+H367+H359+H371+H375+H381+H385</f>
        <v>14634098.620000001</v>
      </c>
    </row>
  </sheetData>
  <mergeCells count="44">
    <mergeCell ref="B26:H26"/>
    <mergeCell ref="B43:H43"/>
    <mergeCell ref="B57:H57"/>
    <mergeCell ref="B71:H71"/>
    <mergeCell ref="D1:G1"/>
    <mergeCell ref="D2:G2"/>
    <mergeCell ref="A3:G3"/>
    <mergeCell ref="A4:G4"/>
    <mergeCell ref="B8:H8"/>
    <mergeCell ref="B74:H74"/>
    <mergeCell ref="B88:H88"/>
    <mergeCell ref="B102:H102"/>
    <mergeCell ref="B116:H116"/>
    <mergeCell ref="B130:H130"/>
    <mergeCell ref="B144:H144"/>
    <mergeCell ref="B322:H322"/>
    <mergeCell ref="B312:H312"/>
    <mergeCell ref="B318:H318"/>
    <mergeCell ref="B327:H327"/>
    <mergeCell ref="B208:H208"/>
    <mergeCell ref="B212:H212"/>
    <mergeCell ref="B158:H158"/>
    <mergeCell ref="B172:H172"/>
    <mergeCell ref="B175:H175"/>
    <mergeCell ref="B189:H189"/>
    <mergeCell ref="B194:H194"/>
    <mergeCell ref="B332:H332"/>
    <mergeCell ref="B278:H278"/>
    <mergeCell ref="B295:H295"/>
    <mergeCell ref="B216:H216"/>
    <mergeCell ref="B221:H221"/>
    <mergeCell ref="B228:H228"/>
    <mergeCell ref="B232:H232"/>
    <mergeCell ref="B248:H248"/>
    <mergeCell ref="B263:H263"/>
    <mergeCell ref="B368:H368"/>
    <mergeCell ref="B372:H372"/>
    <mergeCell ref="B376:H376"/>
    <mergeCell ref="B382:H382"/>
    <mergeCell ref="B337:H337"/>
    <mergeCell ref="B343:H343"/>
    <mergeCell ref="B349:H349"/>
    <mergeCell ref="B355:H355"/>
    <mergeCell ref="B360:H360"/>
  </mergeCells>
  <pageMargins left="0.98425196850393704" right="0.39370078740157483" top="0.59055118110236227" bottom="0.59055118110236227" header="0" footer="0.19685039370078741"/>
  <pageSetup paperSize="9" scale="78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cp:lastPrinted>2023-01-09T13:36:29Z</cp:lastPrinted>
  <dcterms:created xsi:type="dcterms:W3CDTF">2020-04-14T15:48:32Z</dcterms:created>
  <dcterms:modified xsi:type="dcterms:W3CDTF">2023-01-09T13:36:34Z</dcterms:modified>
</cp:coreProperties>
</file>